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OKM_viscosity\"/>
    </mc:Choice>
  </mc:AlternateContent>
  <xr:revisionPtr revIDLastSave="0" documentId="13_ncr:1_{40C9B4D2-67ED-49A9-BFF0-76340F32CAB6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Результаты" sheetId="3" r:id="rId1"/>
    <sheet name="Эксперимент" sheetId="1" r:id="rId2"/>
    <sheet name="Спирт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3" l="1"/>
  <c r="V12" i="3"/>
  <c r="J1" i="6" l="1"/>
  <c r="N5" i="3"/>
  <c r="S2" i="3" s="1"/>
  <c r="N6" i="3"/>
  <c r="N7" i="3"/>
  <c r="N8" i="3"/>
  <c r="N9" i="3"/>
  <c r="N10" i="3"/>
  <c r="N11" i="3"/>
  <c r="N12" i="3"/>
  <c r="N13" i="3"/>
  <c r="N14" i="3"/>
  <c r="E5" i="6"/>
  <c r="E7" i="6"/>
  <c r="E9" i="6"/>
  <c r="E13" i="6"/>
  <c r="E15" i="6"/>
  <c r="E17" i="6"/>
  <c r="E21" i="6"/>
  <c r="E23" i="6"/>
  <c r="E25" i="6"/>
  <c r="B5" i="6"/>
  <c r="B6" i="6"/>
  <c r="E6" i="6" s="1"/>
  <c r="B7" i="6"/>
  <c r="B8" i="6"/>
  <c r="E8" i="6" s="1"/>
  <c r="B9" i="6"/>
  <c r="B10" i="6"/>
  <c r="E10" i="6" s="1"/>
  <c r="B11" i="6"/>
  <c r="E11" i="6" s="1"/>
  <c r="B12" i="6"/>
  <c r="E12" i="6" s="1"/>
  <c r="B13" i="6"/>
  <c r="B14" i="6"/>
  <c r="E14" i="6" s="1"/>
  <c r="B15" i="6"/>
  <c r="B16" i="6"/>
  <c r="E16" i="6" s="1"/>
  <c r="B17" i="6"/>
  <c r="B18" i="6"/>
  <c r="E18" i="6" s="1"/>
  <c r="B19" i="6"/>
  <c r="E19" i="6" s="1"/>
  <c r="B20" i="6"/>
  <c r="E20" i="6" s="1"/>
  <c r="B21" i="6"/>
  <c r="B22" i="6"/>
  <c r="E22" i="6" s="1"/>
  <c r="B23" i="6"/>
  <c r="B24" i="6"/>
  <c r="E24" i="6" s="1"/>
  <c r="B25" i="6"/>
  <c r="E2" i="6"/>
  <c r="F5" i="6" s="1"/>
  <c r="F20" i="6" l="1"/>
  <c r="F12" i="6"/>
  <c r="G12" i="6" s="1"/>
  <c r="F19" i="6"/>
  <c r="G19" i="6" s="1"/>
  <c r="F11" i="6"/>
  <c r="F10" i="6"/>
  <c r="F25" i="6"/>
  <c r="G25" i="6" s="1"/>
  <c r="F17" i="6"/>
  <c r="G17" i="6" s="1"/>
  <c r="F9" i="6"/>
  <c r="F18" i="6"/>
  <c r="G18" i="6" s="1"/>
  <c r="F24" i="6"/>
  <c r="F16" i="6"/>
  <c r="F8" i="6"/>
  <c r="F23" i="6"/>
  <c r="F15" i="6"/>
  <c r="F7" i="6"/>
  <c r="F6" i="6"/>
  <c r="F22" i="6"/>
  <c r="F14" i="6"/>
  <c r="G14" i="6" s="1"/>
  <c r="F21" i="6"/>
  <c r="G21" i="6" s="1"/>
  <c r="F13" i="6"/>
  <c r="J2" i="6"/>
  <c r="T2" i="3"/>
  <c r="G5" i="6"/>
  <c r="G6" i="6"/>
  <c r="G7" i="6"/>
  <c r="G8" i="6"/>
  <c r="G9" i="6"/>
  <c r="G10" i="6"/>
  <c r="G11" i="6"/>
  <c r="G13" i="6"/>
  <c r="G15" i="6"/>
  <c r="G16" i="6"/>
  <c r="G20" i="6"/>
  <c r="G22" i="6"/>
  <c r="G23" i="6"/>
  <c r="G24" i="6"/>
  <c r="D8" i="3"/>
  <c r="D5" i="3"/>
  <c r="T5" i="1"/>
  <c r="U5" i="1" s="1"/>
  <c r="M5" i="3" s="1"/>
  <c r="T6" i="1"/>
  <c r="U6" i="1" s="1"/>
  <c r="M6" i="3" s="1"/>
  <c r="T7" i="1"/>
  <c r="U7" i="1" s="1"/>
  <c r="M7" i="3" s="1"/>
  <c r="T8" i="1"/>
  <c r="U8" i="1" s="1"/>
  <c r="M8" i="3" s="1"/>
  <c r="T9" i="1"/>
  <c r="U9" i="1" s="1"/>
  <c r="M9" i="3" s="1"/>
  <c r="T10" i="1"/>
  <c r="U10" i="1" s="1"/>
  <c r="M10" i="3" s="1"/>
  <c r="T11" i="1"/>
  <c r="U11" i="1" s="1"/>
  <c r="M11" i="3" s="1"/>
  <c r="T12" i="1"/>
  <c r="U12" i="1" s="1"/>
  <c r="M12" i="3" s="1"/>
  <c r="T13" i="1"/>
  <c r="U13" i="1" s="1"/>
  <c r="M13" i="3" s="1"/>
  <c r="T14" i="1"/>
  <c r="U14" i="1" s="1"/>
  <c r="M14" i="3" s="1"/>
  <c r="T5" i="3" l="1"/>
  <c r="T56" i="3"/>
  <c r="T64" i="3"/>
  <c r="T72" i="3"/>
  <c r="T80" i="3"/>
  <c r="T88" i="3"/>
  <c r="T96" i="3"/>
  <c r="T104" i="3"/>
  <c r="T112" i="3"/>
  <c r="T120" i="3"/>
  <c r="T128" i="3"/>
  <c r="T136" i="3"/>
  <c r="T144" i="3"/>
  <c r="T152" i="3"/>
  <c r="T160" i="3"/>
  <c r="T168" i="3"/>
  <c r="T176" i="3"/>
  <c r="T184" i="3"/>
  <c r="T192" i="3"/>
  <c r="T200" i="3"/>
  <c r="T196" i="3"/>
  <c r="T118" i="3"/>
  <c r="T198" i="3"/>
  <c r="T151" i="3"/>
  <c r="T57" i="3"/>
  <c r="T65" i="3"/>
  <c r="T73" i="3"/>
  <c r="T81" i="3"/>
  <c r="T89" i="3"/>
  <c r="T97" i="3"/>
  <c r="T105" i="3"/>
  <c r="T113" i="3"/>
  <c r="T121" i="3"/>
  <c r="T129" i="3"/>
  <c r="T137" i="3"/>
  <c r="T145" i="3"/>
  <c r="T153" i="3"/>
  <c r="T161" i="3"/>
  <c r="T169" i="3"/>
  <c r="T177" i="3"/>
  <c r="T185" i="3"/>
  <c r="T193" i="3"/>
  <c r="T201" i="3"/>
  <c r="T172" i="3"/>
  <c r="T86" i="3"/>
  <c r="T150" i="3"/>
  <c r="T166" i="3"/>
  <c r="T159" i="3"/>
  <c r="T58" i="3"/>
  <c r="T66" i="3"/>
  <c r="T74" i="3"/>
  <c r="T82" i="3"/>
  <c r="T90" i="3"/>
  <c r="T98" i="3"/>
  <c r="T106" i="3"/>
  <c r="T114" i="3"/>
  <c r="T122" i="3"/>
  <c r="T130" i="3"/>
  <c r="T138" i="3"/>
  <c r="T146" i="3"/>
  <c r="T154" i="3"/>
  <c r="T162" i="3"/>
  <c r="T170" i="3"/>
  <c r="T178" i="3"/>
  <c r="T186" i="3"/>
  <c r="T194" i="3"/>
  <c r="T202" i="3"/>
  <c r="T180" i="3"/>
  <c r="T94" i="3"/>
  <c r="T182" i="3"/>
  <c r="T191" i="3"/>
  <c r="T59" i="3"/>
  <c r="T67" i="3"/>
  <c r="T75" i="3"/>
  <c r="T83" i="3"/>
  <c r="T91" i="3"/>
  <c r="T99" i="3"/>
  <c r="T107" i="3"/>
  <c r="T115" i="3"/>
  <c r="T123" i="3"/>
  <c r="T131" i="3"/>
  <c r="T139" i="3"/>
  <c r="T147" i="3"/>
  <c r="T155" i="3"/>
  <c r="T163" i="3"/>
  <c r="T171" i="3"/>
  <c r="T179" i="3"/>
  <c r="T187" i="3"/>
  <c r="T195" i="3"/>
  <c r="T203" i="3"/>
  <c r="T164" i="3"/>
  <c r="T110" i="3"/>
  <c r="T190" i="3"/>
  <c r="T183" i="3"/>
  <c r="T60" i="3"/>
  <c r="T68" i="3"/>
  <c r="T76" i="3"/>
  <c r="T84" i="3"/>
  <c r="T92" i="3"/>
  <c r="T100" i="3"/>
  <c r="T108" i="3"/>
  <c r="T116" i="3"/>
  <c r="T124" i="3"/>
  <c r="T132" i="3"/>
  <c r="T140" i="3"/>
  <c r="T148" i="3"/>
  <c r="T156" i="3"/>
  <c r="T188" i="3"/>
  <c r="T204" i="3"/>
  <c r="T126" i="3"/>
  <c r="T167" i="3"/>
  <c r="T61" i="3"/>
  <c r="T69" i="3"/>
  <c r="T77" i="3"/>
  <c r="T85" i="3"/>
  <c r="T93" i="3"/>
  <c r="T101" i="3"/>
  <c r="T109" i="3"/>
  <c r="T117" i="3"/>
  <c r="T125" i="3"/>
  <c r="T133" i="3"/>
  <c r="T141" i="3"/>
  <c r="T149" i="3"/>
  <c r="T157" i="3"/>
  <c r="T165" i="3"/>
  <c r="T173" i="3"/>
  <c r="T181" i="3"/>
  <c r="T189" i="3"/>
  <c r="T197" i="3"/>
  <c r="T205" i="3"/>
  <c r="T62" i="3"/>
  <c r="T70" i="3"/>
  <c r="T78" i="3"/>
  <c r="T102" i="3"/>
  <c r="T134" i="3"/>
  <c r="T142" i="3"/>
  <c r="T158" i="3"/>
  <c r="T174" i="3"/>
  <c r="T143" i="3"/>
  <c r="T63" i="3"/>
  <c r="T71" i="3"/>
  <c r="T79" i="3"/>
  <c r="T87" i="3"/>
  <c r="T95" i="3"/>
  <c r="T103" i="3"/>
  <c r="T111" i="3"/>
  <c r="T119" i="3"/>
  <c r="T127" i="3"/>
  <c r="T135" i="3"/>
  <c r="T175" i="3"/>
  <c r="T199" i="3"/>
  <c r="T13" i="3"/>
  <c r="T7" i="3"/>
  <c r="T47" i="3"/>
  <c r="T15" i="3"/>
  <c r="T10" i="3"/>
  <c r="T52" i="3"/>
  <c r="T44" i="3"/>
  <c r="T36" i="3"/>
  <c r="T28" i="3"/>
  <c r="T20" i="3"/>
  <c r="T33" i="3"/>
  <c r="T39" i="3"/>
  <c r="T23" i="3"/>
  <c r="T9" i="3"/>
  <c r="T51" i="3"/>
  <c r="T43" i="3"/>
  <c r="T35" i="3"/>
  <c r="T27" i="3"/>
  <c r="T19" i="3"/>
  <c r="T41" i="3"/>
  <c r="T25" i="3"/>
  <c r="T24" i="3"/>
  <c r="T8" i="3"/>
  <c r="T50" i="3"/>
  <c r="T42" i="3"/>
  <c r="T34" i="3"/>
  <c r="T26" i="3"/>
  <c r="T18" i="3"/>
  <c r="T49" i="3"/>
  <c r="T17" i="3"/>
  <c r="T48" i="3"/>
  <c r="T12" i="3"/>
  <c r="T54" i="3"/>
  <c r="T46" i="3"/>
  <c r="T38" i="3"/>
  <c r="T30" i="3"/>
  <c r="T22" i="3"/>
  <c r="T14" i="3"/>
  <c r="T6" i="3"/>
  <c r="T40" i="3"/>
  <c r="T32" i="3"/>
  <c r="T16" i="3"/>
  <c r="T55" i="3"/>
  <c r="T31" i="3"/>
  <c r="T11" i="3"/>
  <c r="T53" i="3"/>
  <c r="T45" i="3"/>
  <c r="T37" i="3"/>
  <c r="T29" i="3"/>
  <c r="T21" i="3"/>
  <c r="E14" i="1"/>
  <c r="L14" i="1"/>
  <c r="M14" i="1"/>
  <c r="N14" i="1"/>
  <c r="O14" i="1" s="1"/>
  <c r="P14" i="1" l="1"/>
  <c r="N5" i="1"/>
  <c r="O5" i="1" s="1"/>
  <c r="N6" i="1"/>
  <c r="P6" i="1" s="1"/>
  <c r="N8" i="1"/>
  <c r="P8" i="1" s="1"/>
  <c r="N9" i="1"/>
  <c r="O9" i="1" s="1"/>
  <c r="N10" i="1"/>
  <c r="O10" i="1" s="1"/>
  <c r="N11" i="1"/>
  <c r="O11" i="1" s="1"/>
  <c r="N12" i="1"/>
  <c r="O12" i="1" s="1"/>
  <c r="N13" i="1"/>
  <c r="P13" i="1" s="1"/>
  <c r="P7" i="1"/>
  <c r="O7" i="1"/>
  <c r="O6" i="1" l="1"/>
  <c r="P12" i="1"/>
  <c r="P10" i="1"/>
  <c r="O8" i="1"/>
  <c r="P5" i="1"/>
  <c r="O13" i="1"/>
  <c r="P11" i="1"/>
  <c r="P9" i="1"/>
  <c r="L5" i="1"/>
  <c r="L6" i="1"/>
  <c r="L7" i="1"/>
  <c r="L8" i="1"/>
  <c r="L9" i="1"/>
  <c r="L10" i="1"/>
  <c r="L11" i="1"/>
  <c r="L12" i="1"/>
  <c r="L13" i="1"/>
  <c r="E5" i="1"/>
  <c r="E6" i="1"/>
  <c r="E7" i="1"/>
  <c r="E8" i="1"/>
  <c r="E9" i="1"/>
  <c r="E10" i="1"/>
  <c r="E11" i="1"/>
  <c r="E12" i="1"/>
  <c r="E13" i="1"/>
  <c r="A6" i="1" l="1"/>
  <c r="M6" i="1"/>
  <c r="M9" i="1"/>
  <c r="M10" i="1"/>
  <c r="M11" i="1"/>
  <c r="M12" i="1"/>
  <c r="M13" i="1"/>
  <c r="H6" i="1"/>
  <c r="M8" i="1"/>
  <c r="M5" i="1"/>
  <c r="Q5" i="1" s="1"/>
  <c r="W5" i="1" s="1"/>
  <c r="G5" i="3" s="1"/>
  <c r="M7" i="1"/>
  <c r="D6" i="3" l="1"/>
  <c r="E5" i="3"/>
  <c r="V5" i="1"/>
  <c r="F5" i="3" s="1"/>
  <c r="H5" i="3" s="1"/>
  <c r="H7" i="1"/>
  <c r="A7" i="1"/>
  <c r="I5" i="1"/>
  <c r="J5" i="1" s="1"/>
  <c r="O5" i="3" l="1"/>
  <c r="D7" i="3"/>
  <c r="H9" i="1"/>
  <c r="A8" i="1"/>
  <c r="F6" i="1"/>
  <c r="G6" i="1"/>
  <c r="D9" i="3" l="1"/>
  <c r="H10" i="1"/>
  <c r="I6" i="1"/>
  <c r="J6" i="1" s="1"/>
  <c r="Q6" i="1"/>
  <c r="W6" i="1" s="1"/>
  <c r="G6" i="3" s="1"/>
  <c r="A9" i="1"/>
  <c r="D10" i="3" l="1"/>
  <c r="E6" i="3"/>
  <c r="V6" i="1"/>
  <c r="F6" i="3" s="1"/>
  <c r="H6" i="3" s="1"/>
  <c r="H11" i="1"/>
  <c r="A10" i="1"/>
  <c r="F7" i="1"/>
  <c r="G7" i="1"/>
  <c r="O6" i="3" l="1"/>
  <c r="D11" i="3"/>
  <c r="H12" i="1"/>
  <c r="I7" i="1"/>
  <c r="J7" i="1" s="1"/>
  <c r="Q7" i="1"/>
  <c r="W7" i="1" s="1"/>
  <c r="G7" i="3" s="1"/>
  <c r="A11" i="1"/>
  <c r="D12" i="3" l="1"/>
  <c r="E7" i="3"/>
  <c r="V7" i="1"/>
  <c r="F7" i="3" s="1"/>
  <c r="H7" i="3" s="1"/>
  <c r="F8" i="1"/>
  <c r="H13" i="1"/>
  <c r="G8" i="1"/>
  <c r="A12" i="1"/>
  <c r="O7" i="3" l="1"/>
  <c r="D13" i="3"/>
  <c r="H14" i="1"/>
  <c r="Q8" i="1"/>
  <c r="W8" i="1" s="1"/>
  <c r="G8" i="3" s="1"/>
  <c r="I8" i="1"/>
  <c r="J8" i="1" s="1"/>
  <c r="A13" i="1"/>
  <c r="E8" i="3" l="1"/>
  <c r="D14" i="3"/>
  <c r="V8" i="1"/>
  <c r="F8" i="3" s="1"/>
  <c r="H8" i="3" s="1"/>
  <c r="A14" i="1"/>
  <c r="F9" i="1"/>
  <c r="G9" i="1"/>
  <c r="I9" i="1" s="1"/>
  <c r="J9" i="1" s="1"/>
  <c r="O8" i="3" l="1"/>
  <c r="Q9" i="1"/>
  <c r="W9" i="1" s="1"/>
  <c r="G9" i="3" s="1"/>
  <c r="E9" i="3" l="1"/>
  <c r="V9" i="1"/>
  <c r="F9" i="3" s="1"/>
  <c r="H9" i="3" s="1"/>
  <c r="F10" i="1"/>
  <c r="G10" i="1"/>
  <c r="Q10" i="1" s="1"/>
  <c r="W10" i="1" s="1"/>
  <c r="G10" i="3" s="1"/>
  <c r="O9" i="3" l="1"/>
  <c r="I10" i="1"/>
  <c r="J10" i="1" s="1"/>
  <c r="E10" i="3"/>
  <c r="V10" i="1"/>
  <c r="F10" i="3" s="1"/>
  <c r="H10" i="3" s="1"/>
  <c r="G11" i="1"/>
  <c r="Q11" i="1" s="1"/>
  <c r="W11" i="1" s="1"/>
  <c r="G11" i="3" s="1"/>
  <c r="F11" i="1"/>
  <c r="O10" i="3" l="1"/>
  <c r="E11" i="3"/>
  <c r="V11" i="1"/>
  <c r="F11" i="3" s="1"/>
  <c r="H11" i="3" s="1"/>
  <c r="I11" i="1"/>
  <c r="J11" i="1" s="1"/>
  <c r="F12" i="1"/>
  <c r="G12" i="1"/>
  <c r="Q12" i="1" s="1"/>
  <c r="W12" i="1" s="1"/>
  <c r="G12" i="3" s="1"/>
  <c r="O11" i="3" l="1"/>
  <c r="E12" i="3"/>
  <c r="V12" i="1"/>
  <c r="F12" i="3" s="1"/>
  <c r="H12" i="3" s="1"/>
  <c r="I12" i="1"/>
  <c r="J12" i="1" s="1"/>
  <c r="O12" i="3" l="1"/>
  <c r="F13" i="1"/>
  <c r="G13" i="1"/>
  <c r="Q13" i="1" s="1"/>
  <c r="W13" i="1" s="1"/>
  <c r="G13" i="3" s="1"/>
  <c r="E13" i="3" l="1"/>
  <c r="V13" i="1"/>
  <c r="F13" i="3" s="1"/>
  <c r="H13" i="3" s="1"/>
  <c r="F14" i="1"/>
  <c r="G14" i="1"/>
  <c r="I13" i="1"/>
  <c r="J13" i="1" s="1"/>
  <c r="O13" i="3" l="1"/>
  <c r="Q14" i="1"/>
  <c r="W14" i="1" s="1"/>
  <c r="G14" i="3" s="1"/>
  <c r="I14" i="1"/>
  <c r="J14" i="1" s="1"/>
  <c r="E14" i="3" l="1"/>
  <c r="V14" i="1"/>
  <c r="F14" i="3" s="1"/>
  <c r="H14" i="3" s="1"/>
  <c r="O14" i="3" l="1"/>
</calcChain>
</file>

<file path=xl/sharedStrings.xml><?xml version="1.0" encoding="utf-8"?>
<sst xmlns="http://schemas.openxmlformats.org/spreadsheetml/2006/main" count="72" uniqueCount="70">
  <si>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</si>
  <si>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</si>
  <si>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</si>
  <si>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</si>
  <si>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</si>
  <si>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</si>
  <si>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</si>
  <si>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</si>
  <si>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</si>
  <si>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</si>
  <si>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</si>
  <si>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</si>
  <si>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</si>
  <si>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</si>
  <si>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m2
смесь
стакан</t>
  </si>
  <si>
    <t>m2
смеси</t>
  </si>
  <si>
    <t>m+
ОКМ</t>
  </si>
  <si>
    <t>добавка ОКМ</t>
  </si>
  <si>
    <t>Exp0_up</t>
  </si>
  <si>
    <t>Отклонения при высоких T</t>
  </si>
  <si>
    <t>Exp1_up</t>
  </si>
  <si>
    <t>Exp2_down</t>
  </si>
  <si>
    <t>Exp3_down</t>
  </si>
  <si>
    <t>Exp4_up</t>
  </si>
  <si>
    <t>Exp5_down</t>
  </si>
  <si>
    <t>Exp6_up</t>
  </si>
  <si>
    <t>Exp7_up</t>
  </si>
  <si>
    <t>Exp8_down</t>
  </si>
  <si>
    <t>Добавка</t>
  </si>
  <si>
    <t>w% масс 
теор</t>
  </si>
  <si>
    <t>w% масс 
прак</t>
  </si>
  <si>
    <t>Эксперимент</t>
  </si>
  <si>
    <t>Описание</t>
  </si>
  <si>
    <t>V пик мл</t>
  </si>
  <si>
    <t xml:space="preserve">ro
смесь г/мл   </t>
  </si>
  <si>
    <t>M спирт г/моль</t>
  </si>
  <si>
    <t>Доп</t>
  </si>
  <si>
    <t>mП г
пик</t>
  </si>
  <si>
    <t xml:space="preserve">mП г
смесь    
пик </t>
  </si>
  <si>
    <t xml:space="preserve">mП г
смесь     </t>
  </si>
  <si>
    <t xml:space="preserve">C спирт М </t>
  </si>
  <si>
    <t>M ОКМ г/моль</t>
  </si>
  <si>
    <t>С ОКМ
М</t>
  </si>
  <si>
    <t xml:space="preserve">C  спирт 
М </t>
  </si>
  <si>
    <t xml:space="preserve">C ОКМ
М </t>
  </si>
  <si>
    <t xml:space="preserve">ro 
г/мл   </t>
  </si>
  <si>
    <t>E</t>
  </si>
  <si>
    <r>
      <t>nu *10</t>
    </r>
    <r>
      <rPr>
        <b/>
        <vertAlign val="superscript"/>
        <sz val="11"/>
        <color theme="0"/>
        <rFont val="Times New Roman"/>
        <family val="1"/>
        <charset val="204"/>
      </rPr>
      <t>6</t>
    </r>
    <r>
      <rPr>
        <b/>
        <sz val="11"/>
        <color theme="0"/>
        <rFont val="Times New Roman"/>
        <family val="1"/>
        <charset val="204"/>
      </rPr>
      <t xml:space="preserve"> Па с</t>
    </r>
  </si>
  <si>
    <t>1/T 
K-1</t>
  </si>
  <si>
    <t>t
C</t>
  </si>
  <si>
    <t>ln D</t>
  </si>
  <si>
    <t>E 100</t>
  </si>
  <si>
    <t>E 0</t>
  </si>
  <si>
    <t>x</t>
  </si>
  <si>
    <t>d E</t>
  </si>
  <si>
    <t>Е
 Дж</t>
  </si>
  <si>
    <t>d Е
Дж</t>
  </si>
  <si>
    <t>D 
м2с</t>
  </si>
  <si>
    <t>d D 
м2с</t>
  </si>
  <si>
    <t>k</t>
  </si>
  <si>
    <t>T 
K</t>
  </si>
  <si>
    <t>ro 
кг/м3</t>
  </si>
  <si>
    <t>D0</t>
  </si>
  <si>
    <t>Е
 кДж</t>
  </si>
  <si>
    <t>1.5 × 10–5 см2/с</t>
  </si>
  <si>
    <t>Реальный;</t>
  </si>
  <si>
    <t>Х спирт</t>
  </si>
  <si>
    <t>Столбец2</t>
  </si>
  <si>
    <t>nu rT
мм2/с</t>
  </si>
  <si>
    <t>D 
м3/с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</si>
</sst>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%"/>
    <numFmt numFmtId="166" formatCode="0.000"/>
    <numFmt numFmtId="167" formatCode="0E+00"/>
    <numFmt numFmtId="168" formatCode="0.0%"/>
    <numFmt numFmtId="169" formatCode="0.00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i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Times New Roman"/>
      <family val="1"/>
      <charset val="204"/>
    </font>
    <font>
      <b/>
      <vertAlign val="superscript"/>
      <sz val="11"/>
      <color theme="0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8"/>
      <color rgb="FF333333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ont="0" applyFill="0" applyBorder="0" applyAlignment="0" applyProtection="0">
      <alignment vertical="top"/>
    </xf>
  </cellStyleXfs>
  <cellXfs count="10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11" fontId="0" fillId="0" borderId="0" xfId="0" applyNumberFormat="1"/>
    <xf numFmtId="2" fontId="0" fillId="0" borderId="0" xfId="0" applyNumberFormat="1"/>
    <xf numFmtId="0" fontId="0" fillId="9" borderId="0" xfId="0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Font="1" applyFill="1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2" fontId="0" fillId="11" borderId="0" xfId="0" applyNumberFormat="1" applyFill="1" applyBorder="1"/>
    <xf numFmtId="164" fontId="2" fillId="11" borderId="0" xfId="0" applyNumberFormat="1" applyFont="1" applyFill="1" applyBorder="1"/>
    <xf numFmtId="164" fontId="1" fillId="11" borderId="0" xfId="0" applyNumberFormat="1" applyFont="1" applyFill="1" applyBorder="1"/>
    <xf numFmtId="2" fontId="0" fillId="0" borderId="0" xfId="0" applyNumberForma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>
      <protection locked="0"/>
    </xf>
    <xf numFmtId="1" fontId="3" fillId="0" borderId="0" xfId="0" applyNumberFormat="1" applyFont="1" applyFill="1" applyBorder="1" applyAlignment="1" applyProtection="1">
      <alignment horizontal="center" vertical="center"/>
    </xf>
    <xf numFmtId="2" fontId="15" fillId="3" borderId="1" xfId="0" applyNumberFormat="1" applyFont="1" applyFill="1" applyBorder="1"/>
    <xf numFmtId="2" fontId="15" fillId="3" borderId="2" xfId="0" applyNumberFormat="1" applyFont="1" applyFill="1" applyBorder="1"/>
    <xf numFmtId="2" fontId="15" fillId="11" borderId="2" xfId="0" applyNumberFormat="1" applyFont="1" applyFill="1" applyBorder="1"/>
    <xf numFmtId="2" fontId="15" fillId="3" borderId="2" xfId="0" applyNumberFormat="1" applyFont="1" applyFill="1" applyBorder="1" applyProtection="1">
      <protection locked="0"/>
    </xf>
    <xf numFmtId="2" fontId="15" fillId="3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 applyProtection="1">
      <protection locked="0"/>
    </xf>
    <xf numFmtId="164" fontId="5" fillId="4" borderId="2" xfId="0" applyNumberFormat="1" applyFont="1" applyFill="1" applyBorder="1" applyProtection="1">
      <protection locked="0"/>
    </xf>
    <xf numFmtId="164" fontId="5" fillId="11" borderId="2" xfId="0" applyNumberFormat="1" applyFont="1" applyFill="1" applyBorder="1" applyProtection="1">
      <protection locked="0"/>
    </xf>
    <xf numFmtId="164" fontId="5" fillId="4" borderId="3" xfId="0" applyNumberFormat="1" applyFont="1" applyFill="1" applyBorder="1" applyProtection="1">
      <protection locked="0"/>
    </xf>
    <xf numFmtId="164" fontId="5" fillId="4" borderId="1" xfId="0" applyNumberFormat="1" applyFont="1" applyFill="1" applyBorder="1"/>
    <xf numFmtId="164" fontId="5" fillId="4" borderId="2" xfId="0" applyNumberFormat="1" applyFont="1" applyFill="1" applyBorder="1"/>
    <xf numFmtId="0" fontId="5" fillId="12" borderId="1" xfId="0" applyFont="1" applyFill="1" applyBorder="1"/>
    <xf numFmtId="0" fontId="5" fillId="12" borderId="2" xfId="0" applyFont="1" applyFill="1" applyBorder="1"/>
    <xf numFmtId="0" fontId="5" fillId="12" borderId="3" xfId="0" applyFont="1" applyFill="1" applyBorder="1" applyProtection="1">
      <protection locked="0"/>
    </xf>
    <xf numFmtId="164" fontId="16" fillId="0" borderId="0" xfId="0" applyNumberFormat="1" applyFont="1" applyBorder="1"/>
    <xf numFmtId="164" fontId="16" fillId="11" borderId="0" xfId="0" applyNumberFormat="1" applyFont="1" applyFill="1" applyBorder="1"/>
    <xf numFmtId="164" fontId="16" fillId="0" borderId="0" xfId="0" applyNumberFormat="1" applyFont="1" applyBorder="1" applyProtection="1">
      <protection locked="0"/>
    </xf>
    <xf numFmtId="2" fontId="2" fillId="0" borderId="0" xfId="0" applyNumberFormat="1" applyFont="1" applyBorder="1"/>
    <xf numFmtId="2" fontId="2" fillId="11" borderId="0" xfId="0" applyNumberFormat="1" applyFont="1" applyFill="1" applyBorder="1"/>
    <xf numFmtId="2" fontId="2" fillId="0" borderId="0" xfId="0" applyNumberFormat="1" applyFont="1" applyBorder="1" applyProtection="1">
      <protection locked="0"/>
    </xf>
    <xf numFmtId="164" fontId="14" fillId="13" borderId="0" xfId="0" applyNumberFormat="1" applyFont="1" applyFill="1" applyBorder="1"/>
    <xf numFmtId="164" fontId="14" fillId="13" borderId="0" xfId="0" applyNumberFormat="1" applyFont="1" applyFill="1" applyBorder="1" applyProtection="1">
      <protection locked="0"/>
    </xf>
    <xf numFmtId="164" fontId="14" fillId="3" borderId="0" xfId="0" applyNumberFormat="1" applyFont="1" applyFill="1" applyBorder="1"/>
    <xf numFmtId="164" fontId="14" fillId="3" borderId="0" xfId="0" applyNumberFormat="1" applyFont="1" applyFill="1" applyBorder="1" applyProtection="1">
      <protection locked="0"/>
    </xf>
    <xf numFmtId="10" fontId="17" fillId="2" borderId="1" xfId="0" applyNumberFormat="1" applyFont="1" applyFill="1" applyBorder="1"/>
    <xf numFmtId="10" fontId="17" fillId="2" borderId="2" xfId="0" applyNumberFormat="1" applyFont="1" applyFill="1" applyBorder="1"/>
    <xf numFmtId="10" fontId="17" fillId="2" borderId="2" xfId="0" applyNumberFormat="1" applyFont="1" applyFill="1" applyBorder="1" applyProtection="1">
      <protection locked="0"/>
    </xf>
    <xf numFmtId="165" fontId="17" fillId="2" borderId="3" xfId="0" applyNumberFormat="1" applyFont="1" applyFill="1" applyBorder="1" applyProtection="1">
      <protection locked="0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49" fontId="0" fillId="0" borderId="0" xfId="0" applyNumberFormat="1" applyBorder="1"/>
    <xf numFmtId="2" fontId="7" fillId="0" borderId="0" xfId="0" applyNumberFormat="1" applyFont="1" applyBorder="1"/>
    <xf numFmtId="11" fontId="5" fillId="6" borderId="0" xfId="0" applyNumberFormat="1" applyFont="1" applyFill="1" applyBorder="1"/>
    <xf numFmtId="167" fontId="8" fillId="0" borderId="0" xfId="0" applyNumberFormat="1" applyFont="1" applyBorder="1"/>
    <xf numFmtId="168" fontId="0" fillId="7" borderId="0" xfId="0" applyNumberFormat="1" applyFill="1" applyBorder="1"/>
    <xf numFmtId="10" fontId="3" fillId="0" borderId="0" xfId="0" applyNumberFormat="1" applyFont="1" applyBorder="1"/>
    <xf numFmtId="49" fontId="0" fillId="9" borderId="0" xfId="0" applyNumberFormat="1" applyFill="1" applyBorder="1"/>
    <xf numFmtId="2" fontId="7" fillId="9" borderId="0" xfId="0" applyNumberFormat="1" applyFont="1" applyFill="1" applyBorder="1"/>
    <xf numFmtId="11" fontId="5" fillId="9" borderId="0" xfId="0" applyNumberFormat="1" applyFont="1" applyFill="1" applyBorder="1"/>
    <xf numFmtId="167" fontId="8" fillId="9" borderId="0" xfId="0" applyNumberFormat="1" applyFont="1" applyFill="1" applyBorder="1"/>
    <xf numFmtId="168" fontId="0" fillId="9" borderId="0" xfId="0" applyNumberFormat="1" applyFill="1" applyBorder="1"/>
    <xf numFmtId="10" fontId="3" fillId="9" borderId="0" xfId="0" applyNumberFormat="1" applyFont="1" applyFill="1" applyBorder="1"/>
    <xf numFmtId="49" fontId="4" fillId="1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/>
    <xf numFmtId="2" fontId="3" fillId="8" borderId="1" xfId="0" applyNumberFormat="1" applyFont="1" applyFill="1" applyBorder="1"/>
    <xf numFmtId="2" fontId="3" fillId="8" borderId="2" xfId="0" applyNumberFormat="1" applyFont="1" applyFill="1" applyBorder="1"/>
    <xf numFmtId="2" fontId="3" fillId="8" borderId="2" xfId="0" applyNumberFormat="1" applyFont="1" applyFill="1" applyBorder="1" applyProtection="1">
      <protection locked="0"/>
    </xf>
    <xf numFmtId="2" fontId="3" fillId="8" borderId="3" xfId="0" applyNumberFormat="1" applyFont="1" applyFill="1" applyBorder="1" applyProtection="1">
      <protection locked="0"/>
    </xf>
    <xf numFmtId="2" fontId="5" fillId="13" borderId="0" xfId="0" applyNumberFormat="1" applyFont="1" applyFill="1"/>
    <xf numFmtId="2" fontId="0" fillId="2" borderId="0" xfId="0" applyNumberFormat="1" applyFont="1" applyFill="1" applyBorder="1"/>
    <xf numFmtId="2" fontId="0" fillId="2" borderId="0" xfId="0" applyNumberFormat="1" applyFont="1" applyFill="1" applyBorder="1" applyProtection="1">
      <protection locked="0"/>
    </xf>
    <xf numFmtId="2" fontId="3" fillId="8" borderId="0" xfId="0" applyNumberFormat="1" applyFont="1" applyFill="1" applyBorder="1"/>
    <xf numFmtId="2" fontId="3" fillId="5" borderId="0" xfId="0" applyNumberFormat="1" applyFont="1" applyFill="1" applyBorder="1"/>
    <xf numFmtId="49" fontId="6" fillId="10" borderId="4" xfId="0" applyNumberFormat="1" applyFont="1" applyFill="1" applyBorder="1" applyAlignment="1">
      <alignment horizontal="center" vertical="center" wrapText="1"/>
    </xf>
    <xf numFmtId="168" fontId="3" fillId="0" borderId="0" xfId="0" applyNumberFormat="1" applyFont="1" applyFill="1" applyBorder="1"/>
    <xf numFmtId="0" fontId="0" fillId="0" borderId="0" xfId="0" applyAlignment="1"/>
    <xf numFmtId="0" fontId="11" fillId="0" borderId="0" xfId="0" applyFont="1" applyAlignment="1">
      <alignment wrapText="1"/>
    </xf>
    <xf numFmtId="11" fontId="11" fillId="0" borderId="0" xfId="0" applyNumberFormat="1" applyFont="1"/>
    <xf numFmtId="0" fontId="4" fillId="0" borderId="7" xfId="0" applyFont="1" applyFill="1" applyBorder="1" applyAlignment="1">
      <alignment horizontal="center" vertical="center"/>
    </xf>
    <xf numFmtId="11" fontId="10" fillId="0" borderId="0" xfId="0" applyNumberFormat="1" applyFont="1" applyBorder="1"/>
    <xf numFmtId="169" fontId="10" fillId="0" borderId="0" xfId="0" applyNumberFormat="1" applyFont="1" applyBorder="1"/>
    <xf numFmtId="0" fontId="19" fillId="0" borderId="4" xfId="1" applyNumberFormat="1" applyFont="1" applyFill="1" applyBorder="1" applyAlignment="1" applyProtection="1">
      <alignment horizontal="center" vertical="center" wrapText="1"/>
    </xf>
    <xf numFmtId="0" fontId="19" fillId="0" borderId="6" xfId="1" applyNumberFormat="1" applyFont="1" applyFill="1" applyBorder="1" applyAlignment="1" applyProtection="1">
      <alignment horizontal="center" vertical="center" wrapText="1"/>
    </xf>
    <xf numFmtId="0" fontId="19" fillId="0" borderId="8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right" vertical="center" wrapText="1"/>
    </xf>
    <xf numFmtId="0" fontId="14" fillId="0" borderId="0" xfId="1" applyNumberFormat="1" applyFont="1" applyFill="1" applyBorder="1" applyAlignment="1" applyProtection="1">
      <alignment horizontal="right" vertical="center"/>
    </xf>
    <xf numFmtId="166" fontId="14" fillId="0" borderId="0" xfId="1" applyNumberFormat="1" applyFont="1" applyFill="1" applyAlignment="1" applyProtection="1">
      <alignment horizontal="right" vertical="center"/>
    </xf>
    <xf numFmtId="166" fontId="0" fillId="0" borderId="0" xfId="0" applyNumberForma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66" fontId="23" fillId="3" borderId="0" xfId="0" applyNumberFormat="1" applyFont="1" applyFill="1"/>
    <xf numFmtId="10" fontId="24" fillId="2" borderId="0" xfId="0" applyNumberFormat="1" applyFont="1" applyFill="1" applyBorder="1"/>
    <xf numFmtId="10" fontId="24" fillId="2" borderId="0" xfId="0" applyNumberFormat="1" applyFont="1" applyFill="1" applyBorder="1" applyProtection="1">
      <protection locked="0"/>
    </xf>
    <xf numFmtId="164" fontId="5" fillId="12" borderId="1" xfId="0" applyNumberFormat="1" applyFont="1" applyFill="1" applyBorder="1"/>
    <xf numFmtId="164" fontId="5" fillId="12" borderId="2" xfId="0" applyNumberFormat="1" applyFont="1" applyFill="1" applyBorder="1"/>
    <xf numFmtId="164" fontId="5" fillId="12" borderId="2" xfId="0" applyNumberFormat="1" applyFont="1" applyFill="1" applyBorder="1" applyProtection="1">
      <protection locked="0"/>
    </xf>
    <xf numFmtId="164" fontId="5" fillId="12" borderId="3" xfId="0" applyNumberFormat="1" applyFont="1" applyFill="1" applyBorder="1" applyProtection="1">
      <protection locked="0"/>
    </xf>
    <xf numFmtId="1" fontId="5" fillId="12" borderId="0" xfId="0" applyNumberFormat="1" applyFont="1" applyFill="1" applyBorder="1"/>
    <xf numFmtId="11" fontId="25" fillId="0" borderId="0" xfId="0" applyNumberFormat="1" applyFont="1"/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</cellXfs>
  <cellStyles count="2">
    <cellStyle name="Обычный" xfId="0" builtinId="0"/>
    <cellStyle name="Обычный_Спирт" xfId="1" xr:uid="{8A681B7D-D4A3-4E2B-84D7-F06B42D06188}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5" formatCode="0.00E+00"/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numFmt numFmtId="169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outline val="0"/>
        <shadow val="0"/>
        <u val="none"/>
        <sz val="11"/>
        <color theme="0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 outline="0">
        <left style="medium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 outline="0">
        <left style="medium">
          <color indexed="64"/>
        </left>
      </border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 outline="0">
        <left style="medium">
          <color indexed="64"/>
        </left>
      </border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theme="4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5" tint="0.79998168889431442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medium">
          <color indexed="64"/>
        </right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b/>
        <color auto="1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166" formatCode="0.00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/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6" formatCode="0.0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2" formatCode="0.00"/>
    </dxf>
    <dxf>
      <font>
        <b val="0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8" tint="-0.249977111117893"/>
        <name val="Calibri"/>
        <family val="2"/>
        <charset val="204"/>
        <scheme val="minor"/>
      </font>
      <numFmt numFmtId="167" formatCode="0E+00"/>
    </dxf>
    <dxf>
      <font>
        <b/>
      </font>
      <numFmt numFmtId="15" formatCode="0.00E+00"/>
      <fill>
        <patternFill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charset val="204"/>
        <scheme val="minor"/>
      </font>
      <numFmt numFmtId="2" formatCode="0.00"/>
    </dxf>
    <dxf>
      <font>
        <b/>
      </font>
      <numFmt numFmtId="1" formatCode="0"/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8" formatCode="0.0%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fgColor indexed="64"/>
          <bgColor theme="5" tint="0.59999389629810485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family val="2"/>
        <charset val="204"/>
        <scheme val="minor"/>
      </font>
      <numFmt numFmtId="168" formatCode="0.0%"/>
      <fill>
        <patternFill patternType="solid">
          <fgColor indexed="64"/>
          <bgColor theme="2" tint="-9.9978637043366805E-2"/>
        </patternFill>
      </fill>
    </dxf>
    <dxf>
      <font>
        <i/>
        <color auto="1"/>
      </font>
      <numFmt numFmtId="30" formatCode="@"/>
      <fill>
        <patternFill patternType="solid">
          <fgColor indexed="64"/>
          <bgColor theme="4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642864024158254E-2"/>
          <c:y val="2.5023362432491088E-2"/>
          <c:w val="0.85437834991726902"/>
          <c:h val="0.89206717618592368"/>
        </c:manualLayout>
      </c:layout>
      <c:scatterChart>
        <c:scatterStyle val="lineMarker"/>
        <c:varyColors val="0"/>
        <c:ser>
          <c:idx val="0"/>
          <c:order val="0"/>
          <c:tx>
            <c:v>Реальность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Результаты!$H$5:$H$14</c:f>
              <c:numCache>
                <c:formatCode>0.0%</c:formatCode>
                <c:ptCount val="9"/>
                <c:pt idx="0">
                  <c:v>0</c:v>
                </c:pt>
                <c:pt idx="1">
                  <c:v>0.12163440410455363</c:v>
                </c:pt>
                <c:pt idx="2">
                  <c:v>0.22839568829767162</c:v>
                </c:pt>
                <c:pt idx="3">
                  <c:v>0.31709511578681526</c:v>
                </c:pt>
                <c:pt idx="4">
                  <c:v>0.3873389470410305</c:v>
                </c:pt>
                <c:pt idx="5">
                  <c:v>0.44197506458906766</c:v>
                </c:pt>
                <c:pt idx="6">
                  <c:v>0.49741821504675876</c:v>
                </c:pt>
                <c:pt idx="7">
                  <c:v>0.54477696164843048</c:v>
                </c:pt>
                <c:pt idx="8">
                  <c:v>0.58519063415563788</c:v>
                </c:pt>
              </c:numCache>
            </c:numRef>
          </c:xVal>
          <c:yVal>
            <c:numRef>
              <c:f>Результаты!$N$5:$N$14</c:f>
              <c:numCache>
                <c:formatCode>0.00</c:formatCode>
                <c:ptCount val="9"/>
                <c:pt idx="0">
                  <c:v>59.378052473784322</c:v>
                </c:pt>
                <c:pt idx="1">
                  <c:v>52.363746865078475</c:v>
                </c:pt>
                <c:pt idx="2">
                  <c:v>52.285076730252591</c:v>
                </c:pt>
                <c:pt idx="3">
                  <c:v>47.693482612189079</c:v>
                </c:pt>
                <c:pt idx="4">
                  <c:v>43.295330524036743</c:v>
                </c:pt>
                <c:pt idx="5">
                  <c:v>44.740278273015846</c:v>
                </c:pt>
                <c:pt idx="6">
                  <c:v>40.670390105201285</c:v>
                </c:pt>
                <c:pt idx="7">
                  <c:v>40.59391144412195</c:v>
                </c:pt>
                <c:pt idx="8">
                  <c:v>40.30309222414828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8-405B-912A-5B88611EA9A7}"/>
            </c:ext>
          </c:extLst>
        </c:ser>
        <c:ser>
          <c:idx val="1"/>
          <c:order val="1"/>
          <c:tx>
            <c:v>Идеал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Результаты!$S$5:$S$205</c:f>
              <c:numCache>
                <c:formatCode>0.00%</c:formatCode>
                <c:ptCount val="200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xVal>
          <c:yVal>
            <c:numRef>
              <c:f>Результаты!$T$5:$T$205</c:f>
              <c:numCache>
                <c:formatCode>General</c:formatCode>
                <c:ptCount val="200"/>
                <c:pt idx="0">
                  <c:v>59.378052473784322</c:v>
                </c:pt>
                <c:pt idx="1">
                  <c:v>59.187402660415401</c:v>
                </c:pt>
                <c:pt idx="2">
                  <c:v>58.806103033677559</c:v>
                </c:pt>
                <c:pt idx="3">
                  <c:v>58.61545322030863</c:v>
                </c:pt>
                <c:pt idx="4">
                  <c:v>58.424803406939716</c:v>
                </c:pt>
                <c:pt idx="5">
                  <c:v>58.234153593570788</c:v>
                </c:pt>
                <c:pt idx="6">
                  <c:v>58.043503780201867</c:v>
                </c:pt>
                <c:pt idx="7">
                  <c:v>57.852853966832953</c:v>
                </c:pt>
                <c:pt idx="8">
                  <c:v>57.662204153464025</c:v>
                </c:pt>
                <c:pt idx="9">
                  <c:v>57.471554340095103</c:v>
                </c:pt>
                <c:pt idx="10">
                  <c:v>57.280904526726175</c:v>
                </c:pt>
                <c:pt idx="11">
                  <c:v>57.090254713357261</c:v>
                </c:pt>
                <c:pt idx="12">
                  <c:v>56.899604899988347</c:v>
                </c:pt>
                <c:pt idx="13">
                  <c:v>56.708955086619412</c:v>
                </c:pt>
                <c:pt idx="14">
                  <c:v>56.518305273250505</c:v>
                </c:pt>
                <c:pt idx="15">
                  <c:v>56.327655459881576</c:v>
                </c:pt>
                <c:pt idx="16">
                  <c:v>56.137005646512655</c:v>
                </c:pt>
                <c:pt idx="17">
                  <c:v>55.946355833143734</c:v>
                </c:pt>
                <c:pt idx="18">
                  <c:v>55.755706019774813</c:v>
                </c:pt>
                <c:pt idx="19">
                  <c:v>55.565056206405892</c:v>
                </c:pt>
                <c:pt idx="20">
                  <c:v>55.374406393036971</c:v>
                </c:pt>
                <c:pt idx="21">
                  <c:v>55.183756579668049</c:v>
                </c:pt>
                <c:pt idx="22">
                  <c:v>54.993106766299121</c:v>
                </c:pt>
                <c:pt idx="23">
                  <c:v>54.802456952930207</c:v>
                </c:pt>
                <c:pt idx="24">
                  <c:v>54.611807139561279</c:v>
                </c:pt>
                <c:pt idx="25">
                  <c:v>54.421157326192358</c:v>
                </c:pt>
                <c:pt idx="26">
                  <c:v>54.230507512823444</c:v>
                </c:pt>
                <c:pt idx="27">
                  <c:v>54.039857699454515</c:v>
                </c:pt>
                <c:pt idx="28">
                  <c:v>53.849207886085594</c:v>
                </c:pt>
                <c:pt idx="29">
                  <c:v>53.658558072716673</c:v>
                </c:pt>
                <c:pt idx="30">
                  <c:v>53.467908259347752</c:v>
                </c:pt>
                <c:pt idx="31">
                  <c:v>53.277258445978831</c:v>
                </c:pt>
                <c:pt idx="32">
                  <c:v>53.086608632609909</c:v>
                </c:pt>
                <c:pt idx="33">
                  <c:v>52.895958819240988</c:v>
                </c:pt>
                <c:pt idx="34">
                  <c:v>52.70530900587206</c:v>
                </c:pt>
                <c:pt idx="35">
                  <c:v>52.514659192503146</c:v>
                </c:pt>
                <c:pt idx="36">
                  <c:v>52.324009379134218</c:v>
                </c:pt>
                <c:pt idx="37">
                  <c:v>52.133359565765304</c:v>
                </c:pt>
                <c:pt idx="38">
                  <c:v>51.942709752396375</c:v>
                </c:pt>
                <c:pt idx="39">
                  <c:v>51.752059939027461</c:v>
                </c:pt>
                <c:pt idx="40">
                  <c:v>51.56141012565854</c:v>
                </c:pt>
                <c:pt idx="41">
                  <c:v>51.370760312289612</c:v>
                </c:pt>
                <c:pt idx="42">
                  <c:v>51.180110498920698</c:v>
                </c:pt>
                <c:pt idx="43">
                  <c:v>50.989460685551776</c:v>
                </c:pt>
                <c:pt idx="44">
                  <c:v>50.798810872182848</c:v>
                </c:pt>
                <c:pt idx="45">
                  <c:v>50.608161058813934</c:v>
                </c:pt>
                <c:pt idx="46">
                  <c:v>50.417511245445006</c:v>
                </c:pt>
                <c:pt idx="47">
                  <c:v>50.226861432076085</c:v>
                </c:pt>
                <c:pt idx="48">
                  <c:v>50.036211618707156</c:v>
                </c:pt>
                <c:pt idx="49">
                  <c:v>49.845561805338242</c:v>
                </c:pt>
                <c:pt idx="50">
                  <c:v>49.654911991969321</c:v>
                </c:pt>
                <c:pt idx="51">
                  <c:v>49.464262178600393</c:v>
                </c:pt>
                <c:pt idx="52">
                  <c:v>49.273612365231479</c:v>
                </c:pt>
                <c:pt idx="53">
                  <c:v>49.082962551862551</c:v>
                </c:pt>
                <c:pt idx="54">
                  <c:v>48.892312738493629</c:v>
                </c:pt>
                <c:pt idx="55">
                  <c:v>48.701662925124708</c:v>
                </c:pt>
                <c:pt idx="56">
                  <c:v>48.511013111755794</c:v>
                </c:pt>
                <c:pt idx="57">
                  <c:v>48.320363298386866</c:v>
                </c:pt>
                <c:pt idx="58">
                  <c:v>48.129713485017952</c:v>
                </c:pt>
                <c:pt idx="59">
                  <c:v>47.939063671649023</c:v>
                </c:pt>
                <c:pt idx="60">
                  <c:v>47.748413858280102</c:v>
                </c:pt>
                <c:pt idx="61">
                  <c:v>47.557764044911181</c:v>
                </c:pt>
                <c:pt idx="62">
                  <c:v>47.367114231542267</c:v>
                </c:pt>
                <c:pt idx="63">
                  <c:v>47.176464418173332</c:v>
                </c:pt>
                <c:pt idx="64">
                  <c:v>46.985814604804425</c:v>
                </c:pt>
                <c:pt idx="65">
                  <c:v>46.795164791435489</c:v>
                </c:pt>
                <c:pt idx="66">
                  <c:v>46.604514978066575</c:v>
                </c:pt>
                <c:pt idx="67">
                  <c:v>46.413865164697647</c:v>
                </c:pt>
                <c:pt idx="68">
                  <c:v>46.223215351328733</c:v>
                </c:pt>
                <c:pt idx="69">
                  <c:v>46.032565537959812</c:v>
                </c:pt>
                <c:pt idx="70">
                  <c:v>45.841915724590891</c:v>
                </c:pt>
                <c:pt idx="71">
                  <c:v>45.651265911221969</c:v>
                </c:pt>
                <c:pt idx="72">
                  <c:v>45.460616097853041</c:v>
                </c:pt>
                <c:pt idx="73">
                  <c:v>45.269966284484127</c:v>
                </c:pt>
                <c:pt idx="74">
                  <c:v>45.079316471115206</c:v>
                </c:pt>
                <c:pt idx="75">
                  <c:v>44.888666657746278</c:v>
                </c:pt>
                <c:pt idx="76">
                  <c:v>44.698016844377364</c:v>
                </c:pt>
                <c:pt idx="77">
                  <c:v>44.507367031008435</c:v>
                </c:pt>
                <c:pt idx="78">
                  <c:v>44.316717217639514</c:v>
                </c:pt>
                <c:pt idx="79">
                  <c:v>44.126067404270586</c:v>
                </c:pt>
                <c:pt idx="80">
                  <c:v>43.935417590901672</c:v>
                </c:pt>
                <c:pt idx="81">
                  <c:v>43.744767777532758</c:v>
                </c:pt>
                <c:pt idx="82">
                  <c:v>43.554117964163822</c:v>
                </c:pt>
                <c:pt idx="83">
                  <c:v>43.363468150794915</c:v>
                </c:pt>
                <c:pt idx="84">
                  <c:v>43.17281833742598</c:v>
                </c:pt>
                <c:pt idx="85">
                  <c:v>42.982168524057066</c:v>
                </c:pt>
                <c:pt idx="86">
                  <c:v>42.791518710688138</c:v>
                </c:pt>
                <c:pt idx="87">
                  <c:v>42.600868897319224</c:v>
                </c:pt>
                <c:pt idx="88">
                  <c:v>42.410219083950295</c:v>
                </c:pt>
                <c:pt idx="89">
                  <c:v>42.219569270581374</c:v>
                </c:pt>
                <c:pt idx="90">
                  <c:v>42.028919457212453</c:v>
                </c:pt>
                <c:pt idx="91">
                  <c:v>41.838269643843532</c:v>
                </c:pt>
                <c:pt idx="92">
                  <c:v>41.647619830474611</c:v>
                </c:pt>
                <c:pt idx="93">
                  <c:v>41.456970017105689</c:v>
                </c:pt>
                <c:pt idx="94">
                  <c:v>41.266320203736768</c:v>
                </c:pt>
                <c:pt idx="95">
                  <c:v>41.075670390367847</c:v>
                </c:pt>
                <c:pt idx="96">
                  <c:v>40.885020576998926</c:v>
                </c:pt>
                <c:pt idx="97">
                  <c:v>40.694370763630005</c:v>
                </c:pt>
                <c:pt idx="98">
                  <c:v>40.503720950261084</c:v>
                </c:pt>
                <c:pt idx="99">
                  <c:v>40.313071136892162</c:v>
                </c:pt>
                <c:pt idx="100">
                  <c:v>40.122421323523241</c:v>
                </c:pt>
                <c:pt idx="101">
                  <c:v>39.93177151015432</c:v>
                </c:pt>
                <c:pt idx="102">
                  <c:v>39.741121696785392</c:v>
                </c:pt>
                <c:pt idx="103">
                  <c:v>39.550471883416478</c:v>
                </c:pt>
                <c:pt idx="104">
                  <c:v>39.359822070047557</c:v>
                </c:pt>
                <c:pt idx="105">
                  <c:v>39.169172256678628</c:v>
                </c:pt>
                <c:pt idx="106">
                  <c:v>38.978522443309707</c:v>
                </c:pt>
                <c:pt idx="107">
                  <c:v>38.787872629940786</c:v>
                </c:pt>
                <c:pt idx="108">
                  <c:v>38.597222816571865</c:v>
                </c:pt>
                <c:pt idx="109">
                  <c:v>38.406573003202944</c:v>
                </c:pt>
                <c:pt idx="110">
                  <c:v>38.215923189834022</c:v>
                </c:pt>
                <c:pt idx="111">
                  <c:v>38.025273376465101</c:v>
                </c:pt>
                <c:pt idx="112">
                  <c:v>37.83462356309618</c:v>
                </c:pt>
                <c:pt idx="113">
                  <c:v>37.643973749727259</c:v>
                </c:pt>
                <c:pt idx="114">
                  <c:v>37.453323936358338</c:v>
                </c:pt>
                <c:pt idx="115">
                  <c:v>37.262674122989417</c:v>
                </c:pt>
                <c:pt idx="116">
                  <c:v>37.072024309620495</c:v>
                </c:pt>
                <c:pt idx="117">
                  <c:v>36.881374496251574</c:v>
                </c:pt>
                <c:pt idx="118">
                  <c:v>36.690724682882653</c:v>
                </c:pt>
                <c:pt idx="119">
                  <c:v>36.500074869513725</c:v>
                </c:pt>
                <c:pt idx="120">
                  <c:v>36.309425056144804</c:v>
                </c:pt>
                <c:pt idx="121">
                  <c:v>36.118775242775889</c:v>
                </c:pt>
                <c:pt idx="122">
                  <c:v>35.928125429406961</c:v>
                </c:pt>
                <c:pt idx="123">
                  <c:v>35.73747561603804</c:v>
                </c:pt>
                <c:pt idx="124">
                  <c:v>35.546825802669119</c:v>
                </c:pt>
                <c:pt idx="125">
                  <c:v>35.356175989300198</c:v>
                </c:pt>
                <c:pt idx="126">
                  <c:v>35.165526175931276</c:v>
                </c:pt>
                <c:pt idx="127">
                  <c:v>34.974876362562355</c:v>
                </c:pt>
                <c:pt idx="128">
                  <c:v>34.784226549193434</c:v>
                </c:pt>
                <c:pt idx="129">
                  <c:v>34.593576735824513</c:v>
                </c:pt>
                <c:pt idx="130">
                  <c:v>34.402926922455592</c:v>
                </c:pt>
                <c:pt idx="131">
                  <c:v>34.212277109086671</c:v>
                </c:pt>
                <c:pt idx="132">
                  <c:v>34.021627295717742</c:v>
                </c:pt>
                <c:pt idx="133">
                  <c:v>33.830977482348821</c:v>
                </c:pt>
                <c:pt idx="134">
                  <c:v>33.640327668979907</c:v>
                </c:pt>
                <c:pt idx="135">
                  <c:v>33.449677855610979</c:v>
                </c:pt>
                <c:pt idx="136">
                  <c:v>33.259028042242058</c:v>
                </c:pt>
                <c:pt idx="137">
                  <c:v>33.068378228873144</c:v>
                </c:pt>
                <c:pt idx="138">
                  <c:v>32.877728415504222</c:v>
                </c:pt>
                <c:pt idx="139">
                  <c:v>32.687078602135294</c:v>
                </c:pt>
                <c:pt idx="140">
                  <c:v>32.49642878876638</c:v>
                </c:pt>
                <c:pt idx="141">
                  <c:v>32.305778975397459</c:v>
                </c:pt>
                <c:pt idx="142">
                  <c:v>32.115129162028531</c:v>
                </c:pt>
                <c:pt idx="143">
                  <c:v>31.924479348659609</c:v>
                </c:pt>
                <c:pt idx="144">
                  <c:v>31.733829535290688</c:v>
                </c:pt>
                <c:pt idx="145">
                  <c:v>31.543179721921767</c:v>
                </c:pt>
                <c:pt idx="146">
                  <c:v>31.352529908552846</c:v>
                </c:pt>
                <c:pt idx="147">
                  <c:v>31.161880095183925</c:v>
                </c:pt>
                <c:pt idx="148">
                  <c:v>30.971230281815004</c:v>
                </c:pt>
                <c:pt idx="149">
                  <c:v>30.780580468446079</c:v>
                </c:pt>
                <c:pt idx="150">
                  <c:v>30.589930655077158</c:v>
                </c:pt>
                <c:pt idx="151">
                  <c:v>30.39928084170824</c:v>
                </c:pt>
                <c:pt idx="152">
                  <c:v>30.208631028339312</c:v>
                </c:pt>
                <c:pt idx="153">
                  <c:v>30.017981214970391</c:v>
                </c:pt>
                <c:pt idx="154">
                  <c:v>29.827331401601473</c:v>
                </c:pt>
                <c:pt idx="155">
                  <c:v>29.636681588232548</c:v>
                </c:pt>
                <c:pt idx="156">
                  <c:v>29.446031774863627</c:v>
                </c:pt>
                <c:pt idx="157">
                  <c:v>29.255381961494706</c:v>
                </c:pt>
                <c:pt idx="158">
                  <c:v>29.064732148125785</c:v>
                </c:pt>
                <c:pt idx="159">
                  <c:v>28.874082334756864</c:v>
                </c:pt>
                <c:pt idx="160">
                  <c:v>28.683432521387942</c:v>
                </c:pt>
                <c:pt idx="161">
                  <c:v>28.492782708019018</c:v>
                </c:pt>
                <c:pt idx="162">
                  <c:v>28.3021328946501</c:v>
                </c:pt>
                <c:pt idx="163">
                  <c:v>28.111483081281179</c:v>
                </c:pt>
                <c:pt idx="164">
                  <c:v>27.920833267912258</c:v>
                </c:pt>
                <c:pt idx="165">
                  <c:v>27.730183454543337</c:v>
                </c:pt>
                <c:pt idx="166">
                  <c:v>27.539533641174415</c:v>
                </c:pt>
                <c:pt idx="167">
                  <c:v>27.348883827805491</c:v>
                </c:pt>
                <c:pt idx="168">
                  <c:v>27.158234014436569</c:v>
                </c:pt>
                <c:pt idx="169">
                  <c:v>26.967584201067648</c:v>
                </c:pt>
                <c:pt idx="170">
                  <c:v>26.776934387698724</c:v>
                </c:pt>
                <c:pt idx="171">
                  <c:v>26.586284574329802</c:v>
                </c:pt>
                <c:pt idx="172">
                  <c:v>26.395634760960881</c:v>
                </c:pt>
                <c:pt idx="173">
                  <c:v>26.20498494759196</c:v>
                </c:pt>
                <c:pt idx="174">
                  <c:v>26.014335134223039</c:v>
                </c:pt>
                <c:pt idx="175">
                  <c:v>25.823685320854118</c:v>
                </c:pt>
                <c:pt idx="176">
                  <c:v>25.633035507485193</c:v>
                </c:pt>
                <c:pt idx="177">
                  <c:v>25.442385694116275</c:v>
                </c:pt>
                <c:pt idx="178">
                  <c:v>25.251735880747354</c:v>
                </c:pt>
                <c:pt idx="179">
                  <c:v>25.061086067378429</c:v>
                </c:pt>
                <c:pt idx="180">
                  <c:v>24.870436254009508</c:v>
                </c:pt>
                <c:pt idx="181">
                  <c:v>24.679786440640587</c:v>
                </c:pt>
                <c:pt idx="182">
                  <c:v>24.489136627271662</c:v>
                </c:pt>
                <c:pt idx="183">
                  <c:v>24.298486813902741</c:v>
                </c:pt>
                <c:pt idx="184">
                  <c:v>24.107837000533824</c:v>
                </c:pt>
                <c:pt idx="185">
                  <c:v>23.917187187164899</c:v>
                </c:pt>
                <c:pt idx="186">
                  <c:v>23.726537373795978</c:v>
                </c:pt>
                <c:pt idx="187">
                  <c:v>23.53588756042706</c:v>
                </c:pt>
                <c:pt idx="188">
                  <c:v>23.345237747058139</c:v>
                </c:pt>
                <c:pt idx="189">
                  <c:v>23.154587933689214</c:v>
                </c:pt>
                <c:pt idx="190">
                  <c:v>22.963938120320293</c:v>
                </c:pt>
                <c:pt idx="191">
                  <c:v>22.773288306951375</c:v>
                </c:pt>
                <c:pt idx="192">
                  <c:v>22.582638493582451</c:v>
                </c:pt>
                <c:pt idx="193">
                  <c:v>22.39198868021353</c:v>
                </c:pt>
                <c:pt idx="194">
                  <c:v>22.201338866844608</c:v>
                </c:pt>
                <c:pt idx="195">
                  <c:v>22.010689053475684</c:v>
                </c:pt>
                <c:pt idx="196">
                  <c:v>21.820039240106766</c:v>
                </c:pt>
                <c:pt idx="197">
                  <c:v>21.629389426737845</c:v>
                </c:pt>
                <c:pt idx="198">
                  <c:v>21.43873961336892</c:v>
                </c:pt>
                <c:pt idx="199">
                  <c:v>21.248089799999999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8-405B-912A-5B88611E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74591"/>
        <c:axId val="848710895"/>
      </c:scatterChart>
      <c:valAx>
        <c:axId val="16561745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710895"/>
        <c:crosses val="autoZero"/>
        <c:crossBetween val="midCat"/>
      </c:valAx>
      <c:valAx>
        <c:axId val="84871089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r>
                  <a:rPr lang="en-US" baseline="0"/>
                  <a:t> </a:t>
                </a:r>
                <a:r>
                  <a:rPr lang="ru-RU" baseline="0"/>
                  <a:t>кДж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617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01921804231666"/>
                  <c:y val="-0.13857860078625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Спирт!$E$5:$E$25</c:f>
              <c:numCache>
                <c:formatCode>0.00000</c:formatCode>
                <c:ptCount val="6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</c:numCache>
            </c:numRef>
          </c:xVal>
          <c:yVal>
            <c:numRef>
              <c:f>Спирт!$G$7:$G$27</c:f>
              <c:numCache>
                <c:formatCode>0.000</c:formatCode>
                <c:ptCount val="8"/>
                <c:pt idx="0">
                  <c:v>-41.745815352407242</c:v>
                </c:pt>
                <c:pt idx="1">
                  <c:v>-41.413688734499424</c:v>
                </c:pt>
                <c:pt idx="2">
                  <c:v>-41.105559366463297</c:v>
                </c:pt>
                <c:pt idx="3">
                  <c:v>-40.818714149537612</c:v>
                </c:pt>
                <c:pt idx="4">
                  <c:v>-40.550049830021521</c:v>
                </c:pt>
                <c:pt idx="5">
                  <c:v>-40.297454137173816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32C-8782-4661FDD6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38671"/>
        <c:axId val="1002441727"/>
      </c:scatterChart>
      <c:valAx>
        <c:axId val="1183638671"/>
        <c:scaling>
          <c:orientation val="minMax"/>
          <c:max val="4.000000000000001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41727"/>
        <c:crosses val="autoZero"/>
        <c:crossBetween val="midCat"/>
      </c:valAx>
      <c:valAx>
        <c:axId val="10024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3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26007</xdr:colOff>
      <xdr:row>14</xdr:row>
      <xdr:rowOff>31805</xdr:rowOff>
    </xdr:from>
    <xdr:to>
      <xdr:col>13</xdr:col>
      <xdr:colOff>451338</xdr:colOff>
      <xdr:row>28</xdr:row>
      <xdr:rowOff>29308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224328-66E1-484C-BCB4-A3E0F543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3</xdr:row>
      <xdr:rowOff>342901</xdr:rowOff>
    </xdr:from>
    <xdr:to>
      <xdr:col>14</xdr:col>
      <xdr:colOff>73191</xdr:colOff>
      <xdr:row>28</xdr:row>
      <xdr:rowOff>23813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A5DD3F-FBF2-4A31-AC28-FD6F104AF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6CF4CA-8DD5-42D3-9E5E-E0CF631B7806}" name="Аппроксимация" displayName="Аппроксимация" ref="A4:Q14" totalsRowShown="0" headerRowDxfId="63">
  <autoFilter ref="A4:Q14" xr:uid="{A4C063FA-10B5-4E12-9B60-1F11F9CEEE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7">
    <tableColumn id="8" xr3:uid="{9F7FD215-509F-4DE2-A3C7-D0FF03814D4C}" name="Описание" dataDxfId="62"/>
    <tableColumn id="1" xr3:uid="{7BD1F57E-225E-4952-B218-B70E607E4506}" name="#" dataDxfId="61"/>
    <tableColumn id="6" xr3:uid="{2BC6AEF4-16A6-4036-AD2F-70EB2ED37C83}" name="Эксперимент" dataDxfId="60"/>
    <tableColumn id="7" xr3:uid="{4F002E9F-0B0A-4293-A906-6AAACB660E5F}" name="w% масс _x000a_теор" dataDxfId="59">
      <calculatedColumnFormula>Эксперимент!H5</calculatedColumnFormula>
    </tableColumn>
    <tableColumn id="9" xr3:uid="{EFA2CF13-E204-4162-ACE5-6D1EB6C8441D}" name="w% масс _x000a_прак" dataDxfId="58">
      <calculatedColumnFormula>Эксперимент!Q5</calculatedColumnFormula>
    </tableColumn>
    <tableColumn id="16" xr3:uid="{1A0106D0-1671-48DC-9378-6065A29457AF}" name="C  спирт _x000a_М " dataDxfId="57">
      <calculatedColumnFormula>Эксперимент[[#This Row],[C спирт М ]]</calculatedColumnFormula>
    </tableColumn>
    <tableColumn id="19" xr3:uid="{5C48BC25-18C3-4E1E-A959-A9D7659AD8AA}" name="C ОКМ_x000a_М " dataDxfId="56">
      <calculatedColumnFormula>Эксперимент[[#This Row],[С ОКМ
М]]</calculatedColumnFormula>
    </tableColumn>
    <tableColumn id="20" xr3:uid="{986310D2-1DE5-4684-80A8-AB34FC52B68F}" name="Х спирт" dataDxfId="55">
      <calculatedColumnFormula>Аппроксимация[[#This Row],[C  спирт 
М ]]/(Аппроксимация[[#This Row],[C  спирт 
М ]]+Аппроксимация[[#This Row],[C ОКМ
М ]])</calculatedColumnFormula>
    </tableColumn>
    <tableColumn id="2" xr3:uid="{20B7447A-B783-44F2-B1A4-EC86581E32E5}" name="Е_x000a_ Дж" dataDxfId="54"/>
    <tableColumn id="3" xr3:uid="{DF17DCAE-D682-463C-9861-C2D5B36736D4}" name="d Е_x000a_Дж" dataDxfId="53"/>
    <tableColumn id="4" xr3:uid="{EF4548E5-7C26-4D63-A0F2-B091A7D76087}" name="D _x000a_м3/с" dataDxfId="52"/>
    <tableColumn id="5" xr3:uid="{E91881F4-89DF-4CA8-8787-443661255C2B}" name="d D _x000a_м2с" dataDxfId="51"/>
    <tableColumn id="15" xr3:uid="{449D048E-21EB-4390-9181-5E474775AD2E}" name="ro _x000a_г/мл   " dataDxfId="50">
      <calculatedColumnFormula>Эксперимент[[#This Row],[ro
смесь г/мл   ]]</calculatedColumnFormula>
    </tableColumn>
    <tableColumn id="10" xr3:uid="{73CC65CD-60C0-458E-859A-8516E9CA96B2}" name="Е_x000a_ кДж" dataDxfId="49">
      <calculatedColumnFormula>Аппроксимация[[#This Row],[Е
 Дж]]/1000</calculatedColumnFormula>
    </tableColumn>
    <tableColumn id="22" xr3:uid="{6E9C14D8-3A36-49B6-B4C2-012E44BCDCFA}" name="d E" dataDxfId="48">
      <calculatedColumnFormula>VLOOKUP(Аппроксимация[[#This Row],[Х спирт]],Таблица12[],2)-Аппроксимация[[#This Row],[Е
 кДж]]</calculatedColumnFormula>
    </tableColumn>
    <tableColumn id="11" xr3:uid="{5287448D-75D9-4D97-A54D-67D9F9003826}" name="nu rT_x000a_мм2/с" dataDxfId="47"/>
    <tableColumn id="12" xr3:uid="{42A62B81-7600-4864-AB4D-71F4E89457A9}" name="Столбец2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B0AECA-8ECA-4EC0-842B-5628FA4C9F5F}" name="Таблица12" displayName="Таблица12" ref="S4:T205" totalsRowShown="0" headerRowDxfId="45" dataDxfId="44">
  <autoFilter ref="S4:T205" xr:uid="{EB61DCCC-95D3-478E-9CB9-6521FBDAC904}">
    <filterColumn colId="0" hiddenButton="1"/>
    <filterColumn colId="1" hiddenButton="1"/>
  </autoFilter>
  <tableColumns count="2">
    <tableColumn id="1" xr3:uid="{AA6FAF22-11E0-42F0-99E3-1111C86D0712}" name="x" dataDxfId="43"/>
    <tableColumn id="2" xr3:uid="{0A20EB63-7F78-45D0-9508-B3013E7FA847}" name="E" dataDxfId="42">
      <calculatedColumnFormula>$T$2*Таблица12[[#This Row],[x]]+$S$2*(1-Таблица12[[#This Row],[x]])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E7711-FDB1-4654-ABD5-7AB39C01252B}" name="Спирт_доп" displayName="Спирт_доп" ref="S1:T2" totalsRowShown="0">
  <autoFilter ref="S1:T2" xr:uid="{E0833A3C-C127-4892-9012-7B62ADA9C48E}">
    <filterColumn colId="0" hiddenButton="1"/>
    <filterColumn colId="1" hiddenButton="1"/>
  </autoFilter>
  <tableColumns count="2">
    <tableColumn id="1" xr3:uid="{727CA1B6-BBA1-44D9-9745-C5235BB0FF2A}" name="E 0" dataDxfId="41">
      <calculatedColumnFormula>N5</calculatedColumnFormula>
    </tableColumn>
    <tableColumn id="2" xr3:uid="{6053756B-AA13-4328-8A48-0B487C7AEC64}" name="E 100">
      <calculatedColumnFormula>Спирт!J1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A4:W14" totalsRowShown="0" headerRowDxfId="40" dataDxfId="39">
  <autoFilter ref="A4:W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4" xr3:uid="{77FFFFAD-27FE-4585-A8A5-4920141174AB}" name="#" dataDxfId="38">
      <calculatedColumnFormula>A4+1</calculatedColumnFormula>
    </tableColumn>
    <tableColumn id="17" xr3:uid="{48747F86-4026-4D8A-857D-4C04ECCD38B1}" name="Доп" dataDxfId="37"/>
    <tableColumn id="12" xr3:uid="{1871877F-C7B7-4C72-AF32-DB1A3FABAFCC}" name="m_x000a_стакан" dataDxfId="36"/>
    <tableColumn id="1" xr3:uid="{6A216FEE-C1E1-40E4-815E-5380A5321732}" name="m0_x000a_смесь    _x000a_стакан" dataDxfId="35"/>
    <tableColumn id="2" xr3:uid="{D1757256-BC6C-420E-BEA8-B604BC77F285}" name="m0_x000a_смесь" dataDxfId="34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КМ" dataDxfId="33">
      <calculatedColumnFormula>Эксперимент[[#This Row],[m0
смесь]]*(1-Q4)</calculatedColumnFormula>
    </tableColumn>
    <tableColumn id="4" xr3:uid="{D1940891-C2DF-4AB7-A8E2-AF06FDA60F0D}" name="m0_x000a_спирт" dataDxfId="32">
      <calculatedColumnFormula>Эксперимент[[#This Row],[m0
смесь]]*Q4</calculatedColumnFormula>
    </tableColumn>
    <tableColumn id="6" xr3:uid="{78FAF393-3070-4836-B8E9-4D79C52F839F}" name="w%1 т_x000a_спирт " dataDxfId="31">
      <calculatedColumnFormula>H4+0.025</calculatedColumnFormula>
    </tableColumn>
    <tableColumn id="7" xr3:uid="{EA5712E3-E93C-456A-9EDE-9A8CA94753D1}" name="m+ т_x000a_спирт" dataDxfId="30">
      <calculatedColumnFormula>(Эксперимент[[#This Row],[m0
смесь]]*Эксперимент[[#This Row],[w%1 т
спирт ]]-Эксперимент[[#This Row],[m0
спирт]])/(1-Эксперимент[[#This Row],[w%1 т
спирт ]])</calculatedColumnFormula>
    </tableColumn>
    <tableColumn id="8" xr3:uid="{BCA134A9-8EEF-453E-9616-5112E6D2B5D5}" name="V+ т_x000a_спирт" dataDxfId="29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28"/>
    <tableColumn id="10" xr3:uid="{F3443B4E-6300-47B1-8E7C-FC3BF1A5E3CD}" name="m1_x000a_смеси" dataDxfId="27"/>
    <tableColumn id="11" xr3:uid="{D23B2127-A60A-4E45-A0EF-767833FF7A03}" name="m+_x000a_спирта" dataDxfId="26"/>
    <tableColumn id="15" xr3:uid="{13B47A94-234C-4A1B-B993-FBE523863A83}" name="m2_x000a_смесь_x000a_стакан" dataDxfId="25"/>
    <tableColumn id="13" xr3:uid="{22F644F7-5CB7-438A-9D0D-9E88DE87DE4D}" name="m2_x000a_смеси" dataDxfId="24"/>
    <tableColumn id="16" xr3:uid="{96247A00-C27E-4AC1-85FF-B6D781503BD2}" name="m+_x000a_ОКМ" dataDxfId="23"/>
    <tableColumn id="5" xr3:uid="{896470BD-9890-41DA-8AB1-D5964728C2BF}" name="w%1 _x000a_" dataDxfId="22"/>
    <tableColumn id="18" xr3:uid="{0820FB03-01B9-44DB-82B9-D6B83878BDC8}" name="mП г_x000a_пик" dataDxfId="21"/>
    <tableColumn id="19" xr3:uid="{26D687AE-1683-4A1E-B7EF-88F7CDAEA278}" name="mП г_x000a_смесь    _x000a_пик " dataDxfId="20"/>
    <tableColumn id="20" xr3:uid="{A0C32414-2F25-4C19-AB7C-56D7E5582549}" name="mП г_x000a_смесь     " dataDxfId="19">
      <calculatedColumnFormula>Эксперимент[[#This Row],[mП г
смесь    
пик ]]-Эксперимент[[#This Row],[mП г
пик]]</calculatedColumnFormula>
    </tableColumn>
    <tableColumn id="21" xr3:uid="{9EDFC20E-DF6D-40C2-BDD4-FD2ADF247B6C}" name="ro_x000a_смесь г/мл   " dataDxfId="18">
      <calculatedColumnFormula>Эксперимент[[#This Row],[mП г
смесь     ]]/Плотности_доп[V пик мл]</calculatedColumnFormula>
    </tableColumn>
    <tableColumn id="22" xr3:uid="{C0681BE5-CAF9-4795-84C4-D0BAD37D47FB}" name="C спирт М " dataDxfId="17">
      <calculatedColumnFormula>Эксперимент[[#This Row],[w%1 
]]*Эксперимент[[#This Row],[mП г
смесь     ]]/Плотности_доп[M спирт г/моль]*1000</calculatedColumnFormula>
    </tableColumn>
    <tableColumn id="23" xr3:uid="{BCE0D3E6-5855-4685-8CB4-47083FF3D99D}" name="С ОКМ_x000a_М" dataDxfId="16">
      <calculatedColumnFormula>(1-Эксперимент[[#This Row],[w%1 
]])*Эксперимент[[#This Row],[mП г
смесь     ]]/Плотности_доп[M ОКМ г/моль]*1000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J1:J2" totalsRowShown="0" headerRowDxfId="15" dataDxfId="14">
  <autoFilter ref="J1:J2" xr:uid="{FE5521C9-5D13-479F-9E53-564B5B98F3E0}">
    <filterColumn colId="0" hiddenButton="1"/>
  </autoFilter>
  <tableColumns count="1">
    <tableColumn id="2" xr3:uid="{A6AA64F7-0B92-4711-9CE9-3080CD0125E2}" name="ro _x000a_спирт" dataDxfId="13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U1:W2" totalsRowShown="0" headerRowDxfId="12">
  <autoFilter ref="U1:W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ОКМ г/моль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EB74B0-7CC0-426B-AF13-D49846CEA263}" name="Таблица11" displayName="Таблица11" ref="A4:G25" totalsRowShown="0" headerRowDxfId="11" dataDxfId="9" headerRowBorderDxfId="10" tableBorderDxfId="8" totalsRowBorderDxfId="7">
  <autoFilter ref="A4:G25" xr:uid="{FBEE8ADA-637B-4A6C-9151-BF70C924F8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46E664-44DF-45A5-8228-5F811DE71838}" name="t_x000a_C" dataDxfId="6" dataCellStyle="Обычный_Спирт"/>
    <tableColumn id="8" xr3:uid="{C859729B-C019-4D08-ACA4-3B460AD86104}" name="T _x000a_K" dataDxfId="5" dataCellStyle="Обычный_Спирт">
      <calculatedColumnFormula>Таблица11[[#This Row],[t
C]]+273.15</calculatedColumnFormula>
    </tableColumn>
    <tableColumn id="2" xr3:uid="{B55F4A07-4D55-496A-98F4-7923D8F9F3D3}" name="ro _x000a_кг/м3" dataDxfId="4" dataCellStyle="Обычный_Спирт"/>
    <tableColumn id="3" xr3:uid="{ED4CBB59-1BA5-4214-BACA-64678EE13752}" name="nu *106 Па с" dataDxfId="3" dataCellStyle="Обычный_Спирт"/>
    <tableColumn id="4" xr3:uid="{DD1EE465-F62F-4809-907D-A262F14D304E}" name="1/T _x000a_K-1" dataDxfId="2">
      <calculatedColumnFormula>1/Таблица11[[#This Row],[T 
K]]</calculatedColumnFormula>
    </tableColumn>
    <tableColumn id="5" xr3:uid="{764FF33D-1A62-4388-9118-018F46291530}" name="D _x000a_м2с" dataDxfId="1">
      <calculatedColumnFormula>$E$2*Таблица11[[#This Row],[T 
K]]/Таблица11[[#This Row],[nu *106 Па с]]*10^6</calculatedColumnFormula>
    </tableColumn>
    <tableColumn id="6" xr3:uid="{C8442FD2-4608-4C95-B225-0E3ADEA9ED66}" name="ln D" dataDxfId="0" dataCellStyle="Обычный_Спирт">
      <calculatedColumnFormula>LN(Таблица11[[#This Row],[D 
м2с]])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769D-F7E2-4A6F-B56C-69A3DD7B28E0}">
  <sheetPr>
    <tabColor rgb="FF00B050"/>
  </sheetPr>
  <dimension ref="A1:V205"/>
  <sheetViews>
    <sheetView tabSelected="1" topLeftCell="B6" zoomScale="130" zoomScaleNormal="130" workbookViewId="0">
      <selection activeCell="K5" sqref="K5"/>
    </sheetView>
  </sheetViews>
  <sheetFormatPr defaultRowHeight="14.4" x14ac:dyDescent="0.3"/>
  <cols>
    <col min="1" max="1" width="24.44140625" hidden="1" customWidth="1"/>
    <col min="2" max="2" width="3.6640625" customWidth="1"/>
    <col min="3" max="3" width="12.6640625" bestFit="1" customWidth="1"/>
    <col min="4" max="4" width="8.21875" customWidth="1"/>
    <col min="5" max="5" width="8.44140625" customWidth="1"/>
    <col min="6" max="7" width="7.5546875" customWidth="1"/>
    <col min="8" max="8" width="9.21875" customWidth="1"/>
    <col min="9" max="9" width="7.88671875" customWidth="1"/>
    <col min="10" max="10" width="7.5546875" customWidth="1"/>
    <col min="11" max="12" width="9.21875" customWidth="1"/>
    <col min="15" max="15" width="9.5546875" bestFit="1" customWidth="1"/>
    <col min="16" max="17" width="9.5546875" customWidth="1"/>
  </cols>
  <sheetData>
    <row r="1" spans="1:22" s="81" customFormat="1" ht="15.6" customHeight="1" x14ac:dyDescent="0.3">
      <c r="H1" s="7"/>
      <c r="I1" s="7"/>
      <c r="J1" s="82"/>
      <c r="S1" t="s">
        <v>52</v>
      </c>
      <c r="T1" t="s">
        <v>51</v>
      </c>
    </row>
    <row r="2" spans="1:22" x14ac:dyDescent="0.3">
      <c r="H2" s="4"/>
      <c r="I2" s="5"/>
      <c r="J2" s="83"/>
      <c r="K2" s="4"/>
      <c r="S2" s="94">
        <f>N5</f>
        <v>59.378052473784322</v>
      </c>
      <c r="T2">
        <f>Спирт!J1</f>
        <v>21.248089799999999</v>
      </c>
    </row>
    <row r="4" spans="1:22" ht="43.2" x14ac:dyDescent="0.3">
      <c r="A4" s="52" t="s">
        <v>32</v>
      </c>
      <c r="B4" s="53" t="s">
        <v>13</v>
      </c>
      <c r="C4" s="54" t="s">
        <v>31</v>
      </c>
      <c r="D4" s="10" t="s">
        <v>29</v>
      </c>
      <c r="E4" s="10" t="s">
        <v>30</v>
      </c>
      <c r="F4" s="10" t="s">
        <v>43</v>
      </c>
      <c r="G4" s="10" t="s">
        <v>44</v>
      </c>
      <c r="H4" s="10" t="s">
        <v>66</v>
      </c>
      <c r="I4" s="10" t="s">
        <v>55</v>
      </c>
      <c r="J4" s="10" t="s">
        <v>56</v>
      </c>
      <c r="K4" s="10" t="s">
        <v>69</v>
      </c>
      <c r="L4" s="10" t="s">
        <v>58</v>
      </c>
      <c r="M4" s="79" t="s">
        <v>45</v>
      </c>
      <c r="N4" s="10" t="s">
        <v>63</v>
      </c>
      <c r="O4" s="9" t="s">
        <v>54</v>
      </c>
      <c r="P4" s="108" t="s">
        <v>68</v>
      </c>
      <c r="Q4" s="107" t="s">
        <v>67</v>
      </c>
      <c r="S4" s="96" t="s">
        <v>53</v>
      </c>
      <c r="T4" s="96" t="s">
        <v>46</v>
      </c>
    </row>
    <row r="5" spans="1:22" ht="15.6" x14ac:dyDescent="0.3">
      <c r="A5" t="s">
        <v>19</v>
      </c>
      <c r="B5" s="55">
        <v>1</v>
      </c>
      <c r="C5" s="56" t="s">
        <v>18</v>
      </c>
      <c r="D5" s="60">
        <f>Эксперимент!H5</f>
        <v>0</v>
      </c>
      <c r="E5" s="61">
        <f>Эксперимент!Q5</f>
        <v>0</v>
      </c>
      <c r="F5" s="77">
        <f>Эксперимент[[#This Row],[C спирт М ]]</f>
        <v>0</v>
      </c>
      <c r="G5" s="78">
        <f>Эксперимент[[#This Row],[С ОКМ
М]]</f>
        <v>20.506692160611856</v>
      </c>
      <c r="H5" s="80">
        <f>Аппроксимация[[#This Row],[C  спирт 
М ]]/(Аппроксимация[[#This Row],[C  спирт 
М ]]+Аппроксимация[[#This Row],[C ОКМ
М ]])</f>
        <v>0</v>
      </c>
      <c r="I5" s="105">
        <v>59378.052473784323</v>
      </c>
      <c r="J5" s="57">
        <v>95.842927620185904</v>
      </c>
      <c r="K5" s="58">
        <v>8.0336323119598986E-10</v>
      </c>
      <c r="L5" s="59">
        <v>3.1259016732196398E-11</v>
      </c>
      <c r="M5" s="69">
        <f>Эксперимент[[#This Row],[ro
смесь г/мл   ]]</f>
        <v>1.716</v>
      </c>
      <c r="N5" s="69">
        <f>Аппроксимация[[#This Row],[Е
 Дж]]/1000</f>
        <v>59.378052473784322</v>
      </c>
      <c r="O5" s="98">
        <f>VLOOKUP(Аппроксимация[[#This Row],[Х спирт]],Таблица12[],2)-Аппроксимация[[#This Row],[Е
 кДж]]</f>
        <v>0</v>
      </c>
      <c r="P5" s="98"/>
      <c r="Q5" s="98"/>
      <c r="S5" s="97">
        <v>0</v>
      </c>
      <c r="T5" s="95">
        <f>$T$2*Таблица12[[#This Row],[x]]+$S$2*(1-Таблица12[[#This Row],[x]])</f>
        <v>59.378052473784322</v>
      </c>
    </row>
    <row r="6" spans="1:22" ht="15.6" x14ac:dyDescent="0.3">
      <c r="B6" s="55">
        <v>2</v>
      </c>
      <c r="C6" s="56" t="s">
        <v>20</v>
      </c>
      <c r="D6" s="60">
        <f>Эксперимент!H6</f>
        <v>2.5000000000000001E-2</v>
      </c>
      <c r="E6" s="61">
        <f>Эксперимент!Q6</f>
        <v>2.3944155058826376E-2</v>
      </c>
      <c r="F6" s="77">
        <f>Эксперимент[[#This Row],[C спирт М ]]</f>
        <v>2.5466346891492182</v>
      </c>
      <c r="G6" s="78">
        <f>Эксперимент[[#This Row],[С ОКМ
М]]</f>
        <v>18.390161177916486</v>
      </c>
      <c r="H6" s="80">
        <f>Аппроксимация[[#This Row],[C  спирт 
М ]]/(Аппроксимация[[#This Row],[C  спирт 
М ]]+Аппроксимация[[#This Row],[C ОКМ
М ]])</f>
        <v>0.12163440410455363</v>
      </c>
      <c r="I6" s="105">
        <v>52363.746865078472</v>
      </c>
      <c r="J6" s="57">
        <v>151.44876230167941</v>
      </c>
      <c r="K6" s="58">
        <v>6.6050241009565049E-11</v>
      </c>
      <c r="L6" s="59">
        <v>3.958964263266607E-12</v>
      </c>
      <c r="M6" s="69">
        <f>Эксперимент[[#This Row],[ro
смесь г/мл   ]]</f>
        <v>1.5766399999999998</v>
      </c>
      <c r="N6" s="69">
        <f>Аппроксимация[[#This Row],[Е
 Дж]]/1000</f>
        <v>52.363746865078475</v>
      </c>
      <c r="O6" s="98">
        <f>VLOOKUP(Аппроксимация[[#This Row],[Х спирт]],Таблица12[],2)-Аппроксимация[[#This Row],[Е
 кДж]]</f>
        <v>2.4387100878517316</v>
      </c>
      <c r="P6" s="98"/>
      <c r="Q6" s="98"/>
      <c r="S6" s="97">
        <v>5.0000000000000001E-3</v>
      </c>
      <c r="T6" s="95">
        <f>$T$2*Таблица12[[#This Row],[x]]+$S$2*(1-Таблица12[[#This Row],[x]])</f>
        <v>59.187402660415401</v>
      </c>
      <c r="V6" t="s">
        <v>65</v>
      </c>
    </row>
    <row r="7" spans="1:22" ht="15.6" hidden="1" x14ac:dyDescent="0.3">
      <c r="A7" s="6" t="s">
        <v>28</v>
      </c>
      <c r="B7" s="55">
        <v>3</v>
      </c>
      <c r="C7" s="62"/>
      <c r="D7" s="66">
        <f>Эксперимент!H7</f>
        <v>0.05</v>
      </c>
      <c r="E7" s="67">
        <f>Эксперимент!Q7</f>
        <v>2.1915807405558006E-2</v>
      </c>
      <c r="F7" s="77">
        <f>Эксперимент[[#This Row],[C спирт М ]]</f>
        <v>1.4784003916323534</v>
      </c>
      <c r="G7" s="78">
        <f>Эксперимент[[#This Row],[С ОКМ
М]]</f>
        <v>11.688386622782529</v>
      </c>
      <c r="H7" s="80">
        <f>Аппроксимация[[#This Row],[C  спирт 
М ]]/(Аппроксимация[[#This Row],[C  спирт 
М ]]+Аппроксимация[[#This Row],[C ОКМ
М ]])</f>
        <v>0.11228254774789123</v>
      </c>
      <c r="I7" s="105"/>
      <c r="J7" s="63"/>
      <c r="K7" s="64"/>
      <c r="L7" s="65"/>
      <c r="M7" s="69">
        <f>Эксперимент[[#This Row],[ro
смесь г/мл   ]]</f>
        <v>1</v>
      </c>
      <c r="N7" s="69">
        <f>Аппроксимация[[#This Row],[Е
 Дж]]/1000</f>
        <v>0</v>
      </c>
      <c r="O7" s="98">
        <f>VLOOKUP(Аппроксимация[[#This Row],[Х спирт]],Таблица12[],2)-Аппроксимация[[#This Row],[Е
 кДж]]</f>
        <v>55.183756579668049</v>
      </c>
      <c r="P7" s="98"/>
      <c r="Q7" s="98"/>
      <c r="S7" s="97">
        <v>0.01</v>
      </c>
      <c r="T7" s="95">
        <f>$T$2*Таблица12[[#This Row],[x]]+$S$2*(1-Таблица12[[#This Row],[x]])</f>
        <v>58.99675284704648</v>
      </c>
    </row>
    <row r="8" spans="1:22" ht="15.6" x14ac:dyDescent="0.3">
      <c r="B8" s="55">
        <v>4</v>
      </c>
      <c r="C8" s="56" t="s">
        <v>21</v>
      </c>
      <c r="D8" s="60">
        <f>Эксперимент!H8</f>
        <v>0.05</v>
      </c>
      <c r="E8" s="61">
        <f>Эксперимент!Q8</f>
        <v>4.9824267685908662E-2</v>
      </c>
      <c r="F8" s="77">
        <f>Эксперимент[[#This Row],[C спирт М ]]</f>
        <v>5.2740990533846572</v>
      </c>
      <c r="G8" s="78">
        <f>Эксперимент[[#This Row],[С ОКМ
М]]</f>
        <v>17.817838857942473</v>
      </c>
      <c r="H8" s="80">
        <f>Аппроксимация[[#This Row],[C  спирт 
М ]]/(Аппроксимация[[#This Row],[C  спирт 
М ]]+Аппроксимация[[#This Row],[C ОКМ
М ]])</f>
        <v>0.22839568829767162</v>
      </c>
      <c r="I8" s="105">
        <v>52285.076730252593</v>
      </c>
      <c r="J8" s="57">
        <v>137.2422202936468</v>
      </c>
      <c r="K8" s="58">
        <v>8.0989503670499887E-11</v>
      </c>
      <c r="L8" s="59">
        <v>4.4943559136692431E-12</v>
      </c>
      <c r="M8" s="69">
        <f>Эксперимент[[#This Row],[ro
смесь г/мл   ]]</f>
        <v>1.56918</v>
      </c>
      <c r="N8" s="69">
        <f>Аппроксимация[[#This Row],[Е
 Дж]]/1000</f>
        <v>52.285076730252591</v>
      </c>
      <c r="O8" s="98">
        <f>VLOOKUP(Аппроксимация[[#This Row],[Х спирт]],Таблица12[],2)-Аппроксимация[[#This Row],[Е
 кДж]]</f>
        <v>-1.4862658580697428</v>
      </c>
      <c r="P8" s="98"/>
      <c r="Q8" s="98"/>
      <c r="S8" s="97">
        <v>1.4999999999999999E-2</v>
      </c>
      <c r="T8" s="95">
        <f>$T$2*Таблица12[[#This Row],[x]]+$S$2*(1-Таблица12[[#This Row],[x]])</f>
        <v>58.806103033677559</v>
      </c>
      <c r="V8" t="s">
        <v>64</v>
      </c>
    </row>
    <row r="9" spans="1:22" ht="15.6" x14ac:dyDescent="0.3">
      <c r="B9" s="55">
        <v>5</v>
      </c>
      <c r="C9" s="56" t="s">
        <v>22</v>
      </c>
      <c r="D9" s="60">
        <f>Эксперимент!H9</f>
        <v>7.5000000000000011E-2</v>
      </c>
      <c r="E9" s="61">
        <f>Эксперимент!Q9</f>
        <v>7.6005085117237983E-2</v>
      </c>
      <c r="F9" s="77">
        <f>Эксперимент[[#This Row],[C спирт М ]]</f>
        <v>7.9627939484739354</v>
      </c>
      <c r="G9" s="78">
        <f>Эксперимент[[#This Row],[С ОКМ
М]]</f>
        <v>17.148895106451036</v>
      </c>
      <c r="H9" s="80">
        <f>Аппроксимация[[#This Row],[C  спирт 
М ]]/(Аппроксимация[[#This Row],[C  спирт 
М ]]+Аппроксимация[[#This Row],[C ОКМ
М ]])</f>
        <v>0.31709511578681526</v>
      </c>
      <c r="I9" s="105">
        <v>47693.48261218908</v>
      </c>
      <c r="J9" s="57">
        <v>153.6411421721277</v>
      </c>
      <c r="K9" s="58">
        <v>1.6680078645267609E-11</v>
      </c>
      <c r="L9" s="59">
        <v>1.028508669043341E-12</v>
      </c>
      <c r="M9" s="69">
        <f>Эксперимент[[#This Row],[ro
смесь г/мл   ]]</f>
        <v>1.5530600000000003</v>
      </c>
      <c r="N9" s="69">
        <f>Аппроксимация[[#This Row],[Е
 Дж]]/1000</f>
        <v>47.693482612189079</v>
      </c>
      <c r="O9" s="98">
        <f>VLOOKUP(Аппроксимация[[#This Row],[Х спирт]],Таблица12[],2)-Аппроксимация[[#This Row],[Е
 кДж]]</f>
        <v>-0.32636838064681228</v>
      </c>
      <c r="P9" s="98"/>
      <c r="Q9" s="98"/>
      <c r="S9" s="97">
        <v>0.02</v>
      </c>
      <c r="T9" s="95">
        <f>$T$2*Таблица12[[#This Row],[x]]+$S$2*(1-Таблица12[[#This Row],[x]])</f>
        <v>58.61545322030863</v>
      </c>
    </row>
    <row r="10" spans="1:22" ht="15.6" x14ac:dyDescent="0.3">
      <c r="B10" s="55">
        <v>6</v>
      </c>
      <c r="C10" s="56" t="s">
        <v>23</v>
      </c>
      <c r="D10" s="60">
        <f>Эксперимент!H10</f>
        <v>0.1</v>
      </c>
      <c r="E10" s="61">
        <f>Эксперимент!Q10</f>
        <v>0.10071871677750344</v>
      </c>
      <c r="F10" s="77">
        <f>Эксперимент[[#This Row],[C спирт М ]]</f>
        <v>10.459962146067328</v>
      </c>
      <c r="G10" s="78">
        <f>Эксперимент[[#This Row],[С ОКМ
М]]</f>
        <v>16.544712250797058</v>
      </c>
      <c r="H10" s="80">
        <f>Аппроксимация[[#This Row],[C  спирт 
М ]]/(Аппроксимация[[#This Row],[C  спирт 
М ]]+Аппроксимация[[#This Row],[C ОКМ
М ]])</f>
        <v>0.3873389470410305</v>
      </c>
      <c r="I10" s="105">
        <v>43295.330524036741</v>
      </c>
      <c r="J10" s="57">
        <v>123.86616675096229</v>
      </c>
      <c r="K10" s="58">
        <v>3.5568311402275822E-12</v>
      </c>
      <c r="L10" s="59">
        <v>1.7475750566619219E-13</v>
      </c>
      <c r="M10" s="69">
        <f>Эксперимент[[#This Row],[ro
смесь г/мл   ]]</f>
        <v>1.53952</v>
      </c>
      <c r="N10" s="69">
        <f>Аппроксимация[[#This Row],[Е
 Дж]]/1000</f>
        <v>43.295330524036743</v>
      </c>
      <c r="O10" s="98">
        <f>VLOOKUP(Аппроксимация[[#This Row],[Х спирт]],Таблица12[],2)-Аппроксимация[[#This Row],[Е
 кДж]]</f>
        <v>1.4026863203406208</v>
      </c>
      <c r="P10" s="98"/>
      <c r="Q10" s="98"/>
      <c r="S10" s="97">
        <v>2.5000000000000001E-2</v>
      </c>
      <c r="T10" s="95">
        <f>$T$2*Таблица12[[#This Row],[x]]+$S$2*(1-Таблица12[[#This Row],[x]])</f>
        <v>58.424803406939716</v>
      </c>
    </row>
    <row r="11" spans="1:22" ht="15.6" x14ac:dyDescent="0.3">
      <c r="B11" s="55">
        <v>7</v>
      </c>
      <c r="C11" s="56" t="s">
        <v>24</v>
      </c>
      <c r="D11" s="60">
        <f>Эксперимент!H11</f>
        <v>0.125</v>
      </c>
      <c r="E11" s="61">
        <f>Эксперимент!Q11</f>
        <v>0.12304530681084216</v>
      </c>
      <c r="F11" s="77">
        <f>Эксперимент[[#This Row],[C спирт М ]]</f>
        <v>12.666262634053492</v>
      </c>
      <c r="G11" s="78">
        <f>Эксперимент[[#This Row],[С ОКМ
М]]</f>
        <v>15.992056915783834</v>
      </c>
      <c r="H11" s="80">
        <f>Аппроксимация[[#This Row],[C  спирт 
М ]]/(Аппроксимация[[#This Row],[C  спирт 
М ]]+Аппроксимация[[#This Row],[C ОКМ
М ]])</f>
        <v>0.44197506458906766</v>
      </c>
      <c r="I11" s="105">
        <v>44740.278273015843</v>
      </c>
      <c r="J11" s="57">
        <v>96.978162084189535</v>
      </c>
      <c r="K11" s="58">
        <v>7.4705980959260472E-12</v>
      </c>
      <c r="L11" s="59">
        <v>2.93105569913248E-13</v>
      </c>
      <c r="M11" s="69">
        <f>Эксперимент[[#This Row],[ro
смесь г/мл   ]]</f>
        <v>1.5259800000000001</v>
      </c>
      <c r="N11" s="69">
        <f>Аппроксимация[[#This Row],[Е
 Дж]]/1000</f>
        <v>44.740278273015846</v>
      </c>
      <c r="O11" s="98">
        <f>VLOOKUP(Аппроксимация[[#This Row],[Х спирт]],Таблица12[],2)-Аппроксимация[[#This Row],[Е
 кДж]]</f>
        <v>-2.1394093756966228</v>
      </c>
      <c r="P11" s="98"/>
      <c r="Q11" s="98"/>
      <c r="S11" s="97">
        <v>0.03</v>
      </c>
      <c r="T11" s="95">
        <f>$T$2*Таблица12[[#This Row],[x]]+$S$2*(1-Таблица12[[#This Row],[x]])</f>
        <v>58.234153593570788</v>
      </c>
    </row>
    <row r="12" spans="1:22" ht="15.6" x14ac:dyDescent="0.3">
      <c r="B12" s="55">
        <v>8</v>
      </c>
      <c r="C12" s="56" t="s">
        <v>25</v>
      </c>
      <c r="D12" s="60">
        <f>Эксперимент!H12</f>
        <v>0.15</v>
      </c>
      <c r="E12" s="61">
        <f>Эксперимент!Q12</f>
        <v>0.14917583903957765</v>
      </c>
      <c r="F12" s="77">
        <f>Эксперимент[[#This Row],[C спирт М ]]</f>
        <v>15.171376042420945</v>
      </c>
      <c r="G12" s="78">
        <f>Эксперимент[[#This Row],[С ОКМ
М]]</f>
        <v>15.328866175276676</v>
      </c>
      <c r="H12" s="80">
        <f>Аппроксимация[[#This Row],[C  спирт 
М ]]/(Аппроксимация[[#This Row],[C  спирт 
М ]]+Аппроксимация[[#This Row],[C ОКМ
М ]])</f>
        <v>0.49741821504675876</v>
      </c>
      <c r="I12" s="105">
        <v>40670.390105201288</v>
      </c>
      <c r="J12" s="57">
        <v>99.045115970620827</v>
      </c>
      <c r="K12" s="58">
        <v>1.746090103388697E-12</v>
      </c>
      <c r="L12" s="59">
        <v>6.9403022968506834E-14</v>
      </c>
      <c r="M12" s="69">
        <f>Эксперимент[[#This Row],[ro
смесь г/мл   ]]</f>
        <v>1.5076200000000004</v>
      </c>
      <c r="N12" s="69">
        <f>Аппроксимация[[#This Row],[Е
 Дж]]/1000</f>
        <v>40.670390105201285</v>
      </c>
      <c r="O12" s="98">
        <f>VLOOKUP(Аппроксимация[[#This Row],[Х спирт]],Таблица12[],2)-Аппроксимация[[#This Row],[Е
 кДж]]</f>
        <v>-0.16666915494020174</v>
      </c>
      <c r="P12" s="98"/>
      <c r="Q12" s="98"/>
      <c r="S12" s="97">
        <v>3.5000000000000003E-2</v>
      </c>
      <c r="T12" s="95">
        <f>$T$2*Таблица12[[#This Row],[x]]+$S$2*(1-Таблица12[[#This Row],[x]])</f>
        <v>58.043503780201867</v>
      </c>
      <c r="V12" s="4">
        <f>K5*EXP(-I5/8.314/288)</f>
        <v>1.364926037277355E-20</v>
      </c>
    </row>
    <row r="13" spans="1:22" ht="15.6" x14ac:dyDescent="0.3">
      <c r="B13" s="55">
        <v>9</v>
      </c>
      <c r="C13" s="56" t="s">
        <v>26</v>
      </c>
      <c r="D13" s="60">
        <f>Эксперимент!H13</f>
        <v>0.17499999999999999</v>
      </c>
      <c r="E13" s="61">
        <f>Эксперимент!Q13</f>
        <v>0.17491828063571971</v>
      </c>
      <c r="F13" s="77">
        <f>Эксперимент[[#This Row],[C спирт М ]]</f>
        <v>17.617376532673699</v>
      </c>
      <c r="G13" s="78">
        <f>Эксперимент[[#This Row],[С ОКМ
М]]</f>
        <v>14.721319434508187</v>
      </c>
      <c r="H13" s="80">
        <f>Аппроксимация[[#This Row],[C  спирт 
М ]]/(Аппроксимация[[#This Row],[C  спирт 
М ]]+Аппроксимация[[#This Row],[C ОКМ
М ]])</f>
        <v>0.54477696164843048</v>
      </c>
      <c r="I13" s="105">
        <v>40593.91144412195</v>
      </c>
      <c r="J13" s="57">
        <v>90.651839039157494</v>
      </c>
      <c r="K13" s="58">
        <v>1.9214571617569129E-12</v>
      </c>
      <c r="L13" s="59">
        <v>7.0758475833473851E-14</v>
      </c>
      <c r="M13" s="69">
        <f>Эксперимент[[#This Row],[ro
смесь г/мл   ]]</f>
        <v>1.4930399999999999</v>
      </c>
      <c r="N13" s="69">
        <f>Аппроксимация[[#This Row],[Е
 Дж]]/1000</f>
        <v>40.59391144412195</v>
      </c>
      <c r="O13" s="98">
        <f>VLOOKUP(Аппроксимация[[#This Row],[Х спирт]],Таблица12[],2)-Аппроксимация[[#This Row],[Е
 кДж]]</f>
        <v>-1.8060388141811643</v>
      </c>
      <c r="P13" s="98"/>
      <c r="Q13" s="98"/>
      <c r="S13" s="97">
        <v>0.04</v>
      </c>
      <c r="T13" s="95">
        <f>$T$2*Таблица12[[#This Row],[x]]+$S$2*(1-Таблица12[[#This Row],[x]])</f>
        <v>57.852853966832953</v>
      </c>
      <c r="V13" s="4">
        <f>K14*EXP(-I14/8.314/288)</f>
        <v>9.3884810291104399E-20</v>
      </c>
    </row>
    <row r="14" spans="1:22" ht="15.6" x14ac:dyDescent="0.3">
      <c r="B14" s="55">
        <v>10</v>
      </c>
      <c r="C14" s="56" t="s">
        <v>27</v>
      </c>
      <c r="D14" s="60">
        <f>Эксперимент!H14</f>
        <v>0.19999999999999998</v>
      </c>
      <c r="E14" s="61">
        <f>Эксперимент!Q14</f>
        <v>0.19994567897439963</v>
      </c>
      <c r="F14" s="77">
        <f>Эксперимент[[#This Row],[C спирт М ]]</f>
        <v>20.036650366301277</v>
      </c>
      <c r="G14" s="78">
        <f>Эксперимент[[#This Row],[С ОКМ
М]]</f>
        <v>14.202876373923877</v>
      </c>
      <c r="H14" s="80">
        <f>Аппроксимация[[#This Row],[C  спирт 
М ]]/(Аппроксимация[[#This Row],[C  спирт 
М ]]+Аппроксимация[[#This Row],[C ОКМ
М ]])</f>
        <v>0.58519063415563788</v>
      </c>
      <c r="I14" s="105">
        <v>40303.092224148277</v>
      </c>
      <c r="J14" s="57">
        <v>89.694108605242945</v>
      </c>
      <c r="K14" s="58">
        <v>1.9170894362291472E-12</v>
      </c>
      <c r="L14" s="59">
        <v>6.9349897493579984E-14</v>
      </c>
      <c r="M14" s="69">
        <f>Эксперимент[[#This Row],[ro
смесь г/мл   ]]</f>
        <v>1.48552</v>
      </c>
      <c r="N14" s="69">
        <f>Аппроксимация[[#This Row],[Е
 Дж]]/1000</f>
        <v>40.30309222414828</v>
      </c>
      <c r="O14" s="98">
        <f>VLOOKUP(Аппроксимация[[#This Row],[Х спирт]],Таблица12[],2)-Аппроксимация[[#This Row],[Е
 кДж]]</f>
        <v>-3.2310679145277845</v>
      </c>
      <c r="P14" s="98"/>
      <c r="Q14" s="98"/>
      <c r="S14" s="97">
        <v>4.4999999999999998E-2</v>
      </c>
      <c r="T14" s="95">
        <f>$T$2*Таблица12[[#This Row],[x]]+$S$2*(1-Таблица12[[#This Row],[x]])</f>
        <v>57.662204153464025</v>
      </c>
    </row>
    <row r="15" spans="1:22" ht="15.6" x14ac:dyDescent="0.3">
      <c r="S15" s="97">
        <v>0.05</v>
      </c>
      <c r="T15" s="95">
        <f>$T$2*Таблица12[[#This Row],[x]]+$S$2*(1-Таблица12[[#This Row],[x]])</f>
        <v>57.471554340095103</v>
      </c>
    </row>
    <row r="16" spans="1:22" ht="15.6" x14ac:dyDescent="0.3">
      <c r="S16" s="97">
        <v>5.5E-2</v>
      </c>
      <c r="T16" s="95">
        <f>$T$2*Таблица12[[#This Row],[x]]+$S$2*(1-Таблица12[[#This Row],[x]])</f>
        <v>57.280904526726175</v>
      </c>
    </row>
    <row r="17" spans="19:20" ht="15.6" x14ac:dyDescent="0.3">
      <c r="S17" s="97">
        <v>0.06</v>
      </c>
      <c r="T17" s="95">
        <f>$T$2*Таблица12[[#This Row],[x]]+$S$2*(1-Таблица12[[#This Row],[x]])</f>
        <v>57.090254713357261</v>
      </c>
    </row>
    <row r="18" spans="19:20" ht="15.6" x14ac:dyDescent="0.3">
      <c r="S18" s="97">
        <v>6.5000000000000002E-2</v>
      </c>
      <c r="T18" s="95">
        <f>$T$2*Таблица12[[#This Row],[x]]+$S$2*(1-Таблица12[[#This Row],[x]])</f>
        <v>56.899604899988347</v>
      </c>
    </row>
    <row r="19" spans="19:20" ht="15.6" x14ac:dyDescent="0.3">
      <c r="S19" s="97">
        <v>7.0000000000000007E-2</v>
      </c>
      <c r="T19" s="95">
        <f>$T$2*Таблица12[[#This Row],[x]]+$S$2*(1-Таблица12[[#This Row],[x]])</f>
        <v>56.708955086619412</v>
      </c>
    </row>
    <row r="20" spans="19:20" ht="15.6" x14ac:dyDescent="0.3">
      <c r="S20" s="97">
        <v>7.4999999999999997E-2</v>
      </c>
      <c r="T20" s="95">
        <f>$T$2*Таблица12[[#This Row],[x]]+$S$2*(1-Таблица12[[#This Row],[x]])</f>
        <v>56.518305273250505</v>
      </c>
    </row>
    <row r="21" spans="19:20" ht="15.6" x14ac:dyDescent="0.3">
      <c r="S21" s="97">
        <v>0.08</v>
      </c>
      <c r="T21" s="95">
        <f>$T$2*Таблица12[[#This Row],[x]]+$S$2*(1-Таблица12[[#This Row],[x]])</f>
        <v>56.327655459881576</v>
      </c>
    </row>
    <row r="22" spans="19:20" ht="15.6" x14ac:dyDescent="0.3">
      <c r="S22" s="97">
        <v>8.5000000000000006E-2</v>
      </c>
      <c r="T22" s="95">
        <f>$T$2*Таблица12[[#This Row],[x]]+$S$2*(1-Таблица12[[#This Row],[x]])</f>
        <v>56.137005646512655</v>
      </c>
    </row>
    <row r="23" spans="19:20" ht="15.6" x14ac:dyDescent="0.3">
      <c r="S23" s="97">
        <v>0.09</v>
      </c>
      <c r="T23" s="95">
        <f>$T$2*Таблица12[[#This Row],[x]]+$S$2*(1-Таблица12[[#This Row],[x]])</f>
        <v>55.946355833143734</v>
      </c>
    </row>
    <row r="24" spans="19:20" ht="15.6" x14ac:dyDescent="0.3">
      <c r="S24" s="97">
        <v>9.5000000000000001E-2</v>
      </c>
      <c r="T24" s="95">
        <f>$T$2*Таблица12[[#This Row],[x]]+$S$2*(1-Таблица12[[#This Row],[x]])</f>
        <v>55.755706019774813</v>
      </c>
    </row>
    <row r="25" spans="19:20" ht="15.6" x14ac:dyDescent="0.3">
      <c r="S25" s="97">
        <v>0.1</v>
      </c>
      <c r="T25" s="95">
        <f>$T$2*Таблица12[[#This Row],[x]]+$S$2*(1-Таблица12[[#This Row],[x]])</f>
        <v>55.565056206405892</v>
      </c>
    </row>
    <row r="26" spans="19:20" ht="15.6" x14ac:dyDescent="0.3">
      <c r="S26" s="97">
        <v>0.105</v>
      </c>
      <c r="T26" s="95">
        <f>$T$2*Таблица12[[#This Row],[x]]+$S$2*(1-Таблица12[[#This Row],[x]])</f>
        <v>55.374406393036971</v>
      </c>
    </row>
    <row r="27" spans="19:20" ht="15.6" x14ac:dyDescent="0.3">
      <c r="S27" s="97">
        <v>0.11</v>
      </c>
      <c r="T27" s="95">
        <f>$T$2*Таблица12[[#This Row],[x]]+$S$2*(1-Таблица12[[#This Row],[x]])</f>
        <v>55.183756579668049</v>
      </c>
    </row>
    <row r="28" spans="19:20" ht="15.6" x14ac:dyDescent="0.3">
      <c r="S28" s="97">
        <v>0.115</v>
      </c>
      <c r="T28" s="95">
        <f>$T$2*Таблица12[[#This Row],[x]]+$S$2*(1-Таблица12[[#This Row],[x]])</f>
        <v>54.993106766299121</v>
      </c>
    </row>
    <row r="29" spans="19:20" ht="15.6" x14ac:dyDescent="0.3">
      <c r="S29" s="97">
        <v>0.12</v>
      </c>
      <c r="T29" s="95">
        <f>$T$2*Таблица12[[#This Row],[x]]+$S$2*(1-Таблица12[[#This Row],[x]])</f>
        <v>54.802456952930207</v>
      </c>
    </row>
    <row r="30" spans="19:20" ht="15.6" x14ac:dyDescent="0.3">
      <c r="S30" s="97">
        <v>0.125</v>
      </c>
      <c r="T30" s="95">
        <f>$T$2*Таблица12[[#This Row],[x]]+$S$2*(1-Таблица12[[#This Row],[x]])</f>
        <v>54.611807139561279</v>
      </c>
    </row>
    <row r="31" spans="19:20" ht="15.6" x14ac:dyDescent="0.3">
      <c r="S31" s="97">
        <v>0.13</v>
      </c>
      <c r="T31" s="95">
        <f>$T$2*Таблица12[[#This Row],[x]]+$S$2*(1-Таблица12[[#This Row],[x]])</f>
        <v>54.421157326192358</v>
      </c>
    </row>
    <row r="32" spans="19:20" ht="15.6" x14ac:dyDescent="0.3">
      <c r="S32" s="97">
        <v>0.13500000000000001</v>
      </c>
      <c r="T32" s="95">
        <f>$T$2*Таблица12[[#This Row],[x]]+$S$2*(1-Таблица12[[#This Row],[x]])</f>
        <v>54.230507512823444</v>
      </c>
    </row>
    <row r="33" spans="19:20" ht="15.6" x14ac:dyDescent="0.3">
      <c r="S33" s="97">
        <v>0.14000000000000001</v>
      </c>
      <c r="T33" s="95">
        <f>$T$2*Таблица12[[#This Row],[x]]+$S$2*(1-Таблица12[[#This Row],[x]])</f>
        <v>54.039857699454515</v>
      </c>
    </row>
    <row r="34" spans="19:20" ht="15.6" x14ac:dyDescent="0.3">
      <c r="S34" s="97">
        <v>0.14499999999999999</v>
      </c>
      <c r="T34" s="95">
        <f>$T$2*Таблица12[[#This Row],[x]]+$S$2*(1-Таблица12[[#This Row],[x]])</f>
        <v>53.849207886085594</v>
      </c>
    </row>
    <row r="35" spans="19:20" ht="15.6" x14ac:dyDescent="0.3">
      <c r="S35" s="97">
        <v>0.15</v>
      </c>
      <c r="T35" s="95">
        <f>$T$2*Таблица12[[#This Row],[x]]+$S$2*(1-Таблица12[[#This Row],[x]])</f>
        <v>53.658558072716673</v>
      </c>
    </row>
    <row r="36" spans="19:20" ht="15.6" x14ac:dyDescent="0.3">
      <c r="S36" s="97">
        <v>0.155</v>
      </c>
      <c r="T36" s="95">
        <f>$T$2*Таблица12[[#This Row],[x]]+$S$2*(1-Таблица12[[#This Row],[x]])</f>
        <v>53.467908259347752</v>
      </c>
    </row>
    <row r="37" spans="19:20" ht="15.6" x14ac:dyDescent="0.3">
      <c r="S37" s="97">
        <v>0.16</v>
      </c>
      <c r="T37" s="95">
        <f>$T$2*Таблица12[[#This Row],[x]]+$S$2*(1-Таблица12[[#This Row],[x]])</f>
        <v>53.277258445978831</v>
      </c>
    </row>
    <row r="38" spans="19:20" ht="15.6" x14ac:dyDescent="0.3">
      <c r="S38" s="97">
        <v>0.16500000000000001</v>
      </c>
      <c r="T38" s="95">
        <f>$T$2*Таблица12[[#This Row],[x]]+$S$2*(1-Таблица12[[#This Row],[x]])</f>
        <v>53.086608632609909</v>
      </c>
    </row>
    <row r="39" spans="19:20" ht="15.6" x14ac:dyDescent="0.3">
      <c r="S39" s="97">
        <v>0.17</v>
      </c>
      <c r="T39" s="95">
        <f>$T$2*Таблица12[[#This Row],[x]]+$S$2*(1-Таблица12[[#This Row],[x]])</f>
        <v>52.895958819240988</v>
      </c>
    </row>
    <row r="40" spans="19:20" ht="15.6" x14ac:dyDescent="0.3">
      <c r="S40" s="97">
        <v>0.17499999999999999</v>
      </c>
      <c r="T40" s="95">
        <f>$T$2*Таблица12[[#This Row],[x]]+$S$2*(1-Таблица12[[#This Row],[x]])</f>
        <v>52.70530900587206</v>
      </c>
    </row>
    <row r="41" spans="19:20" ht="15.6" x14ac:dyDescent="0.3">
      <c r="S41" s="97">
        <v>0.18</v>
      </c>
      <c r="T41" s="95">
        <f>$T$2*Таблица12[[#This Row],[x]]+$S$2*(1-Таблица12[[#This Row],[x]])</f>
        <v>52.514659192503146</v>
      </c>
    </row>
    <row r="42" spans="19:20" ht="15.6" x14ac:dyDescent="0.3">
      <c r="S42" s="97">
        <v>0.185</v>
      </c>
      <c r="T42" s="95">
        <f>$T$2*Таблица12[[#This Row],[x]]+$S$2*(1-Таблица12[[#This Row],[x]])</f>
        <v>52.324009379134218</v>
      </c>
    </row>
    <row r="43" spans="19:20" ht="15.6" x14ac:dyDescent="0.3">
      <c r="S43" s="97">
        <v>0.19</v>
      </c>
      <c r="T43" s="95">
        <f>$T$2*Таблица12[[#This Row],[x]]+$S$2*(1-Таблица12[[#This Row],[x]])</f>
        <v>52.133359565765304</v>
      </c>
    </row>
    <row r="44" spans="19:20" ht="15.6" x14ac:dyDescent="0.3">
      <c r="S44" s="97">
        <v>0.19500000000000001</v>
      </c>
      <c r="T44" s="95">
        <f>$T$2*Таблица12[[#This Row],[x]]+$S$2*(1-Таблица12[[#This Row],[x]])</f>
        <v>51.942709752396375</v>
      </c>
    </row>
    <row r="45" spans="19:20" ht="15.6" x14ac:dyDescent="0.3">
      <c r="S45" s="97">
        <v>0.2</v>
      </c>
      <c r="T45" s="95">
        <f>$T$2*Таблица12[[#This Row],[x]]+$S$2*(1-Таблица12[[#This Row],[x]])</f>
        <v>51.752059939027461</v>
      </c>
    </row>
    <row r="46" spans="19:20" ht="15.6" x14ac:dyDescent="0.3">
      <c r="S46" s="97">
        <v>0.20499999999999999</v>
      </c>
      <c r="T46" s="95">
        <f>$T$2*Таблица12[[#This Row],[x]]+$S$2*(1-Таблица12[[#This Row],[x]])</f>
        <v>51.56141012565854</v>
      </c>
    </row>
    <row r="47" spans="19:20" ht="15.6" x14ac:dyDescent="0.3">
      <c r="S47" s="97">
        <v>0.21</v>
      </c>
      <c r="T47" s="95">
        <f>$T$2*Таблица12[[#This Row],[x]]+$S$2*(1-Таблица12[[#This Row],[x]])</f>
        <v>51.370760312289612</v>
      </c>
    </row>
    <row r="48" spans="19:20" ht="15.6" x14ac:dyDescent="0.3">
      <c r="S48" s="97">
        <v>0.215</v>
      </c>
      <c r="T48" s="95">
        <f>$T$2*Таблица12[[#This Row],[x]]+$S$2*(1-Таблица12[[#This Row],[x]])</f>
        <v>51.180110498920698</v>
      </c>
    </row>
    <row r="49" spans="19:20" ht="15.6" x14ac:dyDescent="0.3">
      <c r="S49" s="97">
        <v>0.22</v>
      </c>
      <c r="T49" s="95">
        <f>$T$2*Таблица12[[#This Row],[x]]+$S$2*(1-Таблица12[[#This Row],[x]])</f>
        <v>50.989460685551776</v>
      </c>
    </row>
    <row r="50" spans="19:20" ht="15.6" x14ac:dyDescent="0.3">
      <c r="S50" s="97">
        <v>0.22500000000000001</v>
      </c>
      <c r="T50" s="95">
        <f>$T$2*Таблица12[[#This Row],[x]]+$S$2*(1-Таблица12[[#This Row],[x]])</f>
        <v>50.798810872182848</v>
      </c>
    </row>
    <row r="51" spans="19:20" ht="15.6" x14ac:dyDescent="0.3">
      <c r="S51" s="97">
        <v>0.23</v>
      </c>
      <c r="T51" s="95">
        <f>$T$2*Таблица12[[#This Row],[x]]+$S$2*(1-Таблица12[[#This Row],[x]])</f>
        <v>50.608161058813934</v>
      </c>
    </row>
    <row r="52" spans="19:20" ht="15.6" x14ac:dyDescent="0.3">
      <c r="S52" s="97">
        <v>0.23499999999999999</v>
      </c>
      <c r="T52" s="95">
        <f>$T$2*Таблица12[[#This Row],[x]]+$S$2*(1-Таблица12[[#This Row],[x]])</f>
        <v>50.417511245445006</v>
      </c>
    </row>
    <row r="53" spans="19:20" ht="15.6" x14ac:dyDescent="0.3">
      <c r="S53" s="97">
        <v>0.24</v>
      </c>
      <c r="T53" s="95">
        <f>$T$2*Таблица12[[#This Row],[x]]+$S$2*(1-Таблица12[[#This Row],[x]])</f>
        <v>50.226861432076085</v>
      </c>
    </row>
    <row r="54" spans="19:20" ht="15.6" x14ac:dyDescent="0.3">
      <c r="S54" s="97">
        <v>0.245</v>
      </c>
      <c r="T54" s="95">
        <f>$T$2*Таблица12[[#This Row],[x]]+$S$2*(1-Таблица12[[#This Row],[x]])</f>
        <v>50.036211618707156</v>
      </c>
    </row>
    <row r="55" spans="19:20" ht="15.6" x14ac:dyDescent="0.3">
      <c r="S55" s="97">
        <v>0.25</v>
      </c>
      <c r="T55" s="95">
        <f>$T$2*Таблица12[[#This Row],[x]]+$S$2*(1-Таблица12[[#This Row],[x]])</f>
        <v>49.845561805338242</v>
      </c>
    </row>
    <row r="56" spans="19:20" ht="15.6" x14ac:dyDescent="0.3">
      <c r="S56" s="97">
        <v>0.255</v>
      </c>
      <c r="T56" s="95">
        <f>$T$2*Таблица12[[#This Row],[x]]+$S$2*(1-Таблица12[[#This Row],[x]])</f>
        <v>49.654911991969321</v>
      </c>
    </row>
    <row r="57" spans="19:20" ht="15.6" x14ac:dyDescent="0.3">
      <c r="S57" s="97">
        <v>0.26</v>
      </c>
      <c r="T57" s="95">
        <f>$T$2*Таблица12[[#This Row],[x]]+$S$2*(1-Таблица12[[#This Row],[x]])</f>
        <v>49.464262178600393</v>
      </c>
    </row>
    <row r="58" spans="19:20" ht="15.6" x14ac:dyDescent="0.3">
      <c r="S58" s="97">
        <v>0.26500000000000001</v>
      </c>
      <c r="T58" s="95">
        <f>$T$2*Таблица12[[#This Row],[x]]+$S$2*(1-Таблица12[[#This Row],[x]])</f>
        <v>49.273612365231479</v>
      </c>
    </row>
    <row r="59" spans="19:20" ht="15.6" x14ac:dyDescent="0.3">
      <c r="S59" s="97">
        <v>0.27</v>
      </c>
      <c r="T59" s="95">
        <f>$T$2*Таблица12[[#This Row],[x]]+$S$2*(1-Таблица12[[#This Row],[x]])</f>
        <v>49.082962551862551</v>
      </c>
    </row>
    <row r="60" spans="19:20" ht="15.6" x14ac:dyDescent="0.3">
      <c r="S60" s="97">
        <v>0.27500000000000002</v>
      </c>
      <c r="T60" s="95">
        <f>$T$2*Таблица12[[#This Row],[x]]+$S$2*(1-Таблица12[[#This Row],[x]])</f>
        <v>48.892312738493629</v>
      </c>
    </row>
    <row r="61" spans="19:20" ht="15.6" x14ac:dyDescent="0.3">
      <c r="S61" s="97">
        <v>0.28000000000000003</v>
      </c>
      <c r="T61" s="95">
        <f>$T$2*Таблица12[[#This Row],[x]]+$S$2*(1-Таблица12[[#This Row],[x]])</f>
        <v>48.701662925124708</v>
      </c>
    </row>
    <row r="62" spans="19:20" ht="15.6" x14ac:dyDescent="0.3">
      <c r="S62" s="97">
        <v>0.28499999999999998</v>
      </c>
      <c r="T62" s="95">
        <f>$T$2*Таблица12[[#This Row],[x]]+$S$2*(1-Таблица12[[#This Row],[x]])</f>
        <v>48.511013111755794</v>
      </c>
    </row>
    <row r="63" spans="19:20" ht="15.6" x14ac:dyDescent="0.3">
      <c r="S63" s="97">
        <v>0.28999999999999998</v>
      </c>
      <c r="T63" s="95">
        <f>$T$2*Таблица12[[#This Row],[x]]+$S$2*(1-Таблица12[[#This Row],[x]])</f>
        <v>48.320363298386866</v>
      </c>
    </row>
    <row r="64" spans="19:20" ht="15.6" x14ac:dyDescent="0.3">
      <c r="S64" s="97">
        <v>0.29499999999999998</v>
      </c>
      <c r="T64" s="95">
        <f>$T$2*Таблица12[[#This Row],[x]]+$S$2*(1-Таблица12[[#This Row],[x]])</f>
        <v>48.129713485017952</v>
      </c>
    </row>
    <row r="65" spans="19:20" ht="15.6" x14ac:dyDescent="0.3">
      <c r="S65" s="97">
        <v>0.3</v>
      </c>
      <c r="T65" s="95">
        <f>$T$2*Таблица12[[#This Row],[x]]+$S$2*(1-Таблица12[[#This Row],[x]])</f>
        <v>47.939063671649023</v>
      </c>
    </row>
    <row r="66" spans="19:20" ht="15.6" x14ac:dyDescent="0.3">
      <c r="S66" s="97">
        <v>0.30499999999999999</v>
      </c>
      <c r="T66" s="95">
        <f>$T$2*Таблица12[[#This Row],[x]]+$S$2*(1-Таблица12[[#This Row],[x]])</f>
        <v>47.748413858280102</v>
      </c>
    </row>
    <row r="67" spans="19:20" ht="15.6" x14ac:dyDescent="0.3">
      <c r="S67" s="97">
        <v>0.31</v>
      </c>
      <c r="T67" s="95">
        <f>$T$2*Таблица12[[#This Row],[x]]+$S$2*(1-Таблица12[[#This Row],[x]])</f>
        <v>47.557764044911181</v>
      </c>
    </row>
    <row r="68" spans="19:20" ht="15.6" x14ac:dyDescent="0.3">
      <c r="S68" s="97">
        <v>0.315</v>
      </c>
      <c r="T68" s="95">
        <f>$T$2*Таблица12[[#This Row],[x]]+$S$2*(1-Таблица12[[#This Row],[x]])</f>
        <v>47.367114231542267</v>
      </c>
    </row>
    <row r="69" spans="19:20" ht="15.6" x14ac:dyDescent="0.3">
      <c r="S69" s="97">
        <v>0.32</v>
      </c>
      <c r="T69" s="95">
        <f>$T$2*Таблица12[[#This Row],[x]]+$S$2*(1-Таблица12[[#This Row],[x]])</f>
        <v>47.176464418173332</v>
      </c>
    </row>
    <row r="70" spans="19:20" ht="15.6" x14ac:dyDescent="0.3">
      <c r="S70" s="97">
        <v>0.32500000000000001</v>
      </c>
      <c r="T70" s="95">
        <f>$T$2*Таблица12[[#This Row],[x]]+$S$2*(1-Таблица12[[#This Row],[x]])</f>
        <v>46.985814604804425</v>
      </c>
    </row>
    <row r="71" spans="19:20" ht="15.6" x14ac:dyDescent="0.3">
      <c r="S71" s="97">
        <v>0.33</v>
      </c>
      <c r="T71" s="95">
        <f>$T$2*Таблица12[[#This Row],[x]]+$S$2*(1-Таблица12[[#This Row],[x]])</f>
        <v>46.795164791435489</v>
      </c>
    </row>
    <row r="72" spans="19:20" ht="15.6" x14ac:dyDescent="0.3">
      <c r="S72" s="97">
        <v>0.33500000000000002</v>
      </c>
      <c r="T72" s="95">
        <f>$T$2*Таблица12[[#This Row],[x]]+$S$2*(1-Таблица12[[#This Row],[x]])</f>
        <v>46.604514978066575</v>
      </c>
    </row>
    <row r="73" spans="19:20" ht="15.6" x14ac:dyDescent="0.3">
      <c r="S73" s="97">
        <v>0.34</v>
      </c>
      <c r="T73" s="95">
        <f>$T$2*Таблица12[[#This Row],[x]]+$S$2*(1-Таблица12[[#This Row],[x]])</f>
        <v>46.413865164697647</v>
      </c>
    </row>
    <row r="74" spans="19:20" ht="15.6" x14ac:dyDescent="0.3">
      <c r="S74" s="97">
        <v>0.34499999999999997</v>
      </c>
      <c r="T74" s="95">
        <f>$T$2*Таблица12[[#This Row],[x]]+$S$2*(1-Таблица12[[#This Row],[x]])</f>
        <v>46.223215351328733</v>
      </c>
    </row>
    <row r="75" spans="19:20" ht="15.6" x14ac:dyDescent="0.3">
      <c r="S75" s="97">
        <v>0.35</v>
      </c>
      <c r="T75" s="95">
        <f>$T$2*Таблица12[[#This Row],[x]]+$S$2*(1-Таблица12[[#This Row],[x]])</f>
        <v>46.032565537959812</v>
      </c>
    </row>
    <row r="76" spans="19:20" ht="15.6" x14ac:dyDescent="0.3">
      <c r="S76" s="97">
        <v>0.35499999999999998</v>
      </c>
      <c r="T76" s="95">
        <f>$T$2*Таблица12[[#This Row],[x]]+$S$2*(1-Таблица12[[#This Row],[x]])</f>
        <v>45.841915724590891</v>
      </c>
    </row>
    <row r="77" spans="19:20" ht="15.6" x14ac:dyDescent="0.3">
      <c r="S77" s="97">
        <v>0.36</v>
      </c>
      <c r="T77" s="95">
        <f>$T$2*Таблица12[[#This Row],[x]]+$S$2*(1-Таблица12[[#This Row],[x]])</f>
        <v>45.651265911221969</v>
      </c>
    </row>
    <row r="78" spans="19:20" ht="15.6" x14ac:dyDescent="0.3">
      <c r="S78" s="97">
        <v>0.36499999999999999</v>
      </c>
      <c r="T78" s="95">
        <f>$T$2*Таблица12[[#This Row],[x]]+$S$2*(1-Таблица12[[#This Row],[x]])</f>
        <v>45.460616097853041</v>
      </c>
    </row>
    <row r="79" spans="19:20" ht="15.6" x14ac:dyDescent="0.3">
      <c r="S79" s="97">
        <v>0.37</v>
      </c>
      <c r="T79" s="95">
        <f>$T$2*Таблица12[[#This Row],[x]]+$S$2*(1-Таблица12[[#This Row],[x]])</f>
        <v>45.269966284484127</v>
      </c>
    </row>
    <row r="80" spans="19:20" ht="15.6" x14ac:dyDescent="0.3">
      <c r="S80" s="97">
        <v>0.375</v>
      </c>
      <c r="T80" s="95">
        <f>$T$2*Таблица12[[#This Row],[x]]+$S$2*(1-Таблица12[[#This Row],[x]])</f>
        <v>45.079316471115206</v>
      </c>
    </row>
    <row r="81" spans="19:20" ht="15.6" x14ac:dyDescent="0.3">
      <c r="S81" s="97">
        <v>0.38</v>
      </c>
      <c r="T81" s="95">
        <f>$T$2*Таблица12[[#This Row],[x]]+$S$2*(1-Таблица12[[#This Row],[x]])</f>
        <v>44.888666657746278</v>
      </c>
    </row>
    <row r="82" spans="19:20" ht="15.6" x14ac:dyDescent="0.3">
      <c r="S82" s="97">
        <v>0.38500000000000001</v>
      </c>
      <c r="T82" s="95">
        <f>$T$2*Таблица12[[#This Row],[x]]+$S$2*(1-Таблица12[[#This Row],[x]])</f>
        <v>44.698016844377364</v>
      </c>
    </row>
    <row r="83" spans="19:20" ht="15.6" x14ac:dyDescent="0.3">
      <c r="S83" s="97">
        <v>0.39</v>
      </c>
      <c r="T83" s="95">
        <f>$T$2*Таблица12[[#This Row],[x]]+$S$2*(1-Таблица12[[#This Row],[x]])</f>
        <v>44.507367031008435</v>
      </c>
    </row>
    <row r="84" spans="19:20" ht="15.6" x14ac:dyDescent="0.3">
      <c r="S84" s="97">
        <v>0.39500000000000002</v>
      </c>
      <c r="T84" s="95">
        <f>$T$2*Таблица12[[#This Row],[x]]+$S$2*(1-Таблица12[[#This Row],[x]])</f>
        <v>44.316717217639514</v>
      </c>
    </row>
    <row r="85" spans="19:20" ht="15.6" x14ac:dyDescent="0.3">
      <c r="S85" s="97">
        <v>0.4</v>
      </c>
      <c r="T85" s="95">
        <f>$T$2*Таблица12[[#This Row],[x]]+$S$2*(1-Таблица12[[#This Row],[x]])</f>
        <v>44.126067404270586</v>
      </c>
    </row>
    <row r="86" spans="19:20" ht="15.6" x14ac:dyDescent="0.3">
      <c r="S86" s="97">
        <v>0.40500000000000003</v>
      </c>
      <c r="T86" s="95">
        <f>$T$2*Таблица12[[#This Row],[x]]+$S$2*(1-Таблица12[[#This Row],[x]])</f>
        <v>43.935417590901672</v>
      </c>
    </row>
    <row r="87" spans="19:20" ht="15.6" x14ac:dyDescent="0.3">
      <c r="S87" s="97">
        <v>0.41</v>
      </c>
      <c r="T87" s="95">
        <f>$T$2*Таблица12[[#This Row],[x]]+$S$2*(1-Таблица12[[#This Row],[x]])</f>
        <v>43.744767777532758</v>
      </c>
    </row>
    <row r="88" spans="19:20" ht="15.6" x14ac:dyDescent="0.3">
      <c r="S88" s="97">
        <v>0.41499999999999998</v>
      </c>
      <c r="T88" s="95">
        <f>$T$2*Таблица12[[#This Row],[x]]+$S$2*(1-Таблица12[[#This Row],[x]])</f>
        <v>43.554117964163822</v>
      </c>
    </row>
    <row r="89" spans="19:20" ht="15.6" x14ac:dyDescent="0.3">
      <c r="S89" s="97">
        <v>0.42</v>
      </c>
      <c r="T89" s="95">
        <f>$T$2*Таблица12[[#This Row],[x]]+$S$2*(1-Таблица12[[#This Row],[x]])</f>
        <v>43.363468150794915</v>
      </c>
    </row>
    <row r="90" spans="19:20" ht="15.6" x14ac:dyDescent="0.3">
      <c r="S90" s="97">
        <v>0.42499999999999999</v>
      </c>
      <c r="T90" s="95">
        <f>$T$2*Таблица12[[#This Row],[x]]+$S$2*(1-Таблица12[[#This Row],[x]])</f>
        <v>43.17281833742598</v>
      </c>
    </row>
    <row r="91" spans="19:20" ht="15.6" x14ac:dyDescent="0.3">
      <c r="S91" s="97">
        <v>0.43</v>
      </c>
      <c r="T91" s="95">
        <f>$T$2*Таблица12[[#This Row],[x]]+$S$2*(1-Таблица12[[#This Row],[x]])</f>
        <v>42.982168524057066</v>
      </c>
    </row>
    <row r="92" spans="19:20" ht="15.6" x14ac:dyDescent="0.3">
      <c r="S92" s="97">
        <v>0.435</v>
      </c>
      <c r="T92" s="95">
        <f>$T$2*Таблица12[[#This Row],[x]]+$S$2*(1-Таблица12[[#This Row],[x]])</f>
        <v>42.791518710688138</v>
      </c>
    </row>
    <row r="93" spans="19:20" ht="15.6" x14ac:dyDescent="0.3">
      <c r="S93" s="97">
        <v>0.44</v>
      </c>
      <c r="T93" s="95">
        <f>$T$2*Таблица12[[#This Row],[x]]+$S$2*(1-Таблица12[[#This Row],[x]])</f>
        <v>42.600868897319224</v>
      </c>
    </row>
    <row r="94" spans="19:20" ht="15.6" x14ac:dyDescent="0.3">
      <c r="S94" s="97">
        <v>0.44500000000000001</v>
      </c>
      <c r="T94" s="95">
        <f>$T$2*Таблица12[[#This Row],[x]]+$S$2*(1-Таблица12[[#This Row],[x]])</f>
        <v>42.410219083950295</v>
      </c>
    </row>
    <row r="95" spans="19:20" ht="15.6" x14ac:dyDescent="0.3">
      <c r="S95" s="97">
        <v>0.45</v>
      </c>
      <c r="T95" s="95">
        <f>$T$2*Таблица12[[#This Row],[x]]+$S$2*(1-Таблица12[[#This Row],[x]])</f>
        <v>42.219569270581374</v>
      </c>
    </row>
    <row r="96" spans="19:20" ht="15.6" x14ac:dyDescent="0.3">
      <c r="S96" s="97">
        <v>0.45500000000000002</v>
      </c>
      <c r="T96" s="95">
        <f>$T$2*Таблица12[[#This Row],[x]]+$S$2*(1-Таблица12[[#This Row],[x]])</f>
        <v>42.028919457212453</v>
      </c>
    </row>
    <row r="97" spans="19:20" ht="15.6" x14ac:dyDescent="0.3">
      <c r="S97" s="97">
        <v>0.46</v>
      </c>
      <c r="T97" s="95">
        <f>$T$2*Таблица12[[#This Row],[x]]+$S$2*(1-Таблица12[[#This Row],[x]])</f>
        <v>41.838269643843532</v>
      </c>
    </row>
    <row r="98" spans="19:20" ht="15.6" x14ac:dyDescent="0.3">
      <c r="S98" s="97">
        <v>0.46500000000000002</v>
      </c>
      <c r="T98" s="95">
        <f>$T$2*Таблица12[[#This Row],[x]]+$S$2*(1-Таблица12[[#This Row],[x]])</f>
        <v>41.647619830474611</v>
      </c>
    </row>
    <row r="99" spans="19:20" ht="15.6" x14ac:dyDescent="0.3">
      <c r="S99" s="97">
        <v>0.47</v>
      </c>
      <c r="T99" s="95">
        <f>$T$2*Таблица12[[#This Row],[x]]+$S$2*(1-Таблица12[[#This Row],[x]])</f>
        <v>41.456970017105689</v>
      </c>
    </row>
    <row r="100" spans="19:20" ht="15.6" x14ac:dyDescent="0.3">
      <c r="S100" s="97">
        <v>0.47499999999999998</v>
      </c>
      <c r="T100" s="95">
        <f>$T$2*Таблица12[[#This Row],[x]]+$S$2*(1-Таблица12[[#This Row],[x]])</f>
        <v>41.266320203736768</v>
      </c>
    </row>
    <row r="101" spans="19:20" ht="15.6" x14ac:dyDescent="0.3">
      <c r="S101" s="97">
        <v>0.48</v>
      </c>
      <c r="T101" s="95">
        <f>$T$2*Таблица12[[#This Row],[x]]+$S$2*(1-Таблица12[[#This Row],[x]])</f>
        <v>41.075670390367847</v>
      </c>
    </row>
    <row r="102" spans="19:20" ht="15.6" x14ac:dyDescent="0.3">
      <c r="S102" s="97">
        <v>0.48499999999999999</v>
      </c>
      <c r="T102" s="95">
        <f>$T$2*Таблица12[[#This Row],[x]]+$S$2*(1-Таблица12[[#This Row],[x]])</f>
        <v>40.885020576998926</v>
      </c>
    </row>
    <row r="103" spans="19:20" ht="15.6" x14ac:dyDescent="0.3">
      <c r="S103" s="97">
        <v>0.49</v>
      </c>
      <c r="T103" s="95">
        <f>$T$2*Таблица12[[#This Row],[x]]+$S$2*(1-Таблица12[[#This Row],[x]])</f>
        <v>40.694370763630005</v>
      </c>
    </row>
    <row r="104" spans="19:20" ht="15.6" x14ac:dyDescent="0.3">
      <c r="S104" s="97">
        <v>0.495</v>
      </c>
      <c r="T104" s="95">
        <f>$T$2*Таблица12[[#This Row],[x]]+$S$2*(1-Таблица12[[#This Row],[x]])</f>
        <v>40.503720950261084</v>
      </c>
    </row>
    <row r="105" spans="19:20" ht="15.6" x14ac:dyDescent="0.3">
      <c r="S105" s="97">
        <v>0.5</v>
      </c>
      <c r="T105" s="95">
        <f>$T$2*Таблица12[[#This Row],[x]]+$S$2*(1-Таблица12[[#This Row],[x]])</f>
        <v>40.313071136892162</v>
      </c>
    </row>
    <row r="106" spans="19:20" ht="15.6" x14ac:dyDescent="0.3">
      <c r="S106" s="97">
        <v>0.505</v>
      </c>
      <c r="T106" s="95">
        <f>$T$2*Таблица12[[#This Row],[x]]+$S$2*(1-Таблица12[[#This Row],[x]])</f>
        <v>40.122421323523241</v>
      </c>
    </row>
    <row r="107" spans="19:20" ht="15.6" x14ac:dyDescent="0.3">
      <c r="S107" s="97">
        <v>0.51</v>
      </c>
      <c r="T107" s="95">
        <f>$T$2*Таблица12[[#This Row],[x]]+$S$2*(1-Таблица12[[#This Row],[x]])</f>
        <v>39.93177151015432</v>
      </c>
    </row>
    <row r="108" spans="19:20" ht="15.6" x14ac:dyDescent="0.3">
      <c r="S108" s="97">
        <v>0.51500000000000001</v>
      </c>
      <c r="T108" s="95">
        <f>$T$2*Таблица12[[#This Row],[x]]+$S$2*(1-Таблица12[[#This Row],[x]])</f>
        <v>39.741121696785392</v>
      </c>
    </row>
    <row r="109" spans="19:20" ht="15.6" x14ac:dyDescent="0.3">
      <c r="S109" s="97">
        <v>0.52</v>
      </c>
      <c r="T109" s="95">
        <f>$T$2*Таблица12[[#This Row],[x]]+$S$2*(1-Таблица12[[#This Row],[x]])</f>
        <v>39.550471883416478</v>
      </c>
    </row>
    <row r="110" spans="19:20" ht="15.6" x14ac:dyDescent="0.3">
      <c r="S110" s="97">
        <v>0.52500000000000002</v>
      </c>
      <c r="T110" s="95">
        <f>$T$2*Таблица12[[#This Row],[x]]+$S$2*(1-Таблица12[[#This Row],[x]])</f>
        <v>39.359822070047557</v>
      </c>
    </row>
    <row r="111" spans="19:20" ht="15.6" x14ac:dyDescent="0.3">
      <c r="S111" s="97">
        <v>0.53</v>
      </c>
      <c r="T111" s="95">
        <f>$T$2*Таблица12[[#This Row],[x]]+$S$2*(1-Таблица12[[#This Row],[x]])</f>
        <v>39.169172256678628</v>
      </c>
    </row>
    <row r="112" spans="19:20" ht="15.6" x14ac:dyDescent="0.3">
      <c r="S112" s="97">
        <v>0.53500000000000003</v>
      </c>
      <c r="T112" s="95">
        <f>$T$2*Таблица12[[#This Row],[x]]+$S$2*(1-Таблица12[[#This Row],[x]])</f>
        <v>38.978522443309707</v>
      </c>
    </row>
    <row r="113" spans="19:20" ht="15.6" x14ac:dyDescent="0.3">
      <c r="S113" s="97">
        <v>0.54</v>
      </c>
      <c r="T113" s="95">
        <f>$T$2*Таблица12[[#This Row],[x]]+$S$2*(1-Таблица12[[#This Row],[x]])</f>
        <v>38.787872629940786</v>
      </c>
    </row>
    <row r="114" spans="19:20" ht="15.6" x14ac:dyDescent="0.3">
      <c r="S114" s="97">
        <v>0.54500000000000004</v>
      </c>
      <c r="T114" s="95">
        <f>$T$2*Таблица12[[#This Row],[x]]+$S$2*(1-Таблица12[[#This Row],[x]])</f>
        <v>38.597222816571865</v>
      </c>
    </row>
    <row r="115" spans="19:20" ht="15.6" x14ac:dyDescent="0.3">
      <c r="S115" s="97">
        <v>0.55000000000000004</v>
      </c>
      <c r="T115" s="95">
        <f>$T$2*Таблица12[[#This Row],[x]]+$S$2*(1-Таблица12[[#This Row],[x]])</f>
        <v>38.406573003202944</v>
      </c>
    </row>
    <row r="116" spans="19:20" ht="15.6" x14ac:dyDescent="0.3">
      <c r="S116" s="97">
        <v>0.55500000000000005</v>
      </c>
      <c r="T116" s="95">
        <f>$T$2*Таблица12[[#This Row],[x]]+$S$2*(1-Таблица12[[#This Row],[x]])</f>
        <v>38.215923189834022</v>
      </c>
    </row>
    <row r="117" spans="19:20" ht="15.6" x14ac:dyDescent="0.3">
      <c r="S117" s="97">
        <v>0.56000000000000005</v>
      </c>
      <c r="T117" s="95">
        <f>$T$2*Таблица12[[#This Row],[x]]+$S$2*(1-Таблица12[[#This Row],[x]])</f>
        <v>38.025273376465101</v>
      </c>
    </row>
    <row r="118" spans="19:20" ht="15.6" x14ac:dyDescent="0.3">
      <c r="S118" s="97">
        <v>0.56499999999999995</v>
      </c>
      <c r="T118" s="95">
        <f>$T$2*Таблица12[[#This Row],[x]]+$S$2*(1-Таблица12[[#This Row],[x]])</f>
        <v>37.83462356309618</v>
      </c>
    </row>
    <row r="119" spans="19:20" ht="15.6" x14ac:dyDescent="0.3">
      <c r="S119" s="97">
        <v>0.56999999999999995</v>
      </c>
      <c r="T119" s="95">
        <f>$T$2*Таблица12[[#This Row],[x]]+$S$2*(1-Таблица12[[#This Row],[x]])</f>
        <v>37.643973749727259</v>
      </c>
    </row>
    <row r="120" spans="19:20" ht="15.6" x14ac:dyDescent="0.3">
      <c r="S120" s="97">
        <v>0.57499999999999996</v>
      </c>
      <c r="T120" s="95">
        <f>$T$2*Таблица12[[#This Row],[x]]+$S$2*(1-Таблица12[[#This Row],[x]])</f>
        <v>37.453323936358338</v>
      </c>
    </row>
    <row r="121" spans="19:20" ht="15.6" x14ac:dyDescent="0.3">
      <c r="S121" s="97">
        <v>0.57999999999999996</v>
      </c>
      <c r="T121" s="95">
        <f>$T$2*Таблица12[[#This Row],[x]]+$S$2*(1-Таблица12[[#This Row],[x]])</f>
        <v>37.262674122989417</v>
      </c>
    </row>
    <row r="122" spans="19:20" ht="15.6" x14ac:dyDescent="0.3">
      <c r="S122" s="97">
        <v>0.58499999999999996</v>
      </c>
      <c r="T122" s="95">
        <f>$T$2*Таблица12[[#This Row],[x]]+$S$2*(1-Таблица12[[#This Row],[x]])</f>
        <v>37.072024309620495</v>
      </c>
    </row>
    <row r="123" spans="19:20" ht="15.6" x14ac:dyDescent="0.3">
      <c r="S123" s="97">
        <v>0.59</v>
      </c>
      <c r="T123" s="95">
        <f>$T$2*Таблица12[[#This Row],[x]]+$S$2*(1-Таблица12[[#This Row],[x]])</f>
        <v>36.881374496251574</v>
      </c>
    </row>
    <row r="124" spans="19:20" ht="15.6" x14ac:dyDescent="0.3">
      <c r="S124" s="97">
        <v>0.59499999999999997</v>
      </c>
      <c r="T124" s="95">
        <f>$T$2*Таблица12[[#This Row],[x]]+$S$2*(1-Таблица12[[#This Row],[x]])</f>
        <v>36.690724682882653</v>
      </c>
    </row>
    <row r="125" spans="19:20" ht="15.6" x14ac:dyDescent="0.3">
      <c r="S125" s="97">
        <v>0.6</v>
      </c>
      <c r="T125" s="95">
        <f>$T$2*Таблица12[[#This Row],[x]]+$S$2*(1-Таблица12[[#This Row],[x]])</f>
        <v>36.500074869513725</v>
      </c>
    </row>
    <row r="126" spans="19:20" ht="15.6" x14ac:dyDescent="0.3">
      <c r="S126" s="97">
        <v>0.60499999999999998</v>
      </c>
      <c r="T126" s="95">
        <f>$T$2*Таблица12[[#This Row],[x]]+$S$2*(1-Таблица12[[#This Row],[x]])</f>
        <v>36.309425056144804</v>
      </c>
    </row>
    <row r="127" spans="19:20" ht="15.6" x14ac:dyDescent="0.3">
      <c r="S127" s="97">
        <v>0.61</v>
      </c>
      <c r="T127" s="95">
        <f>$T$2*Таблица12[[#This Row],[x]]+$S$2*(1-Таблица12[[#This Row],[x]])</f>
        <v>36.118775242775889</v>
      </c>
    </row>
    <row r="128" spans="19:20" ht="15.6" x14ac:dyDescent="0.3">
      <c r="S128" s="97">
        <v>0.61499999999999999</v>
      </c>
      <c r="T128" s="95">
        <f>$T$2*Таблица12[[#This Row],[x]]+$S$2*(1-Таблица12[[#This Row],[x]])</f>
        <v>35.928125429406961</v>
      </c>
    </row>
    <row r="129" spans="19:20" ht="15.6" x14ac:dyDescent="0.3">
      <c r="S129" s="97">
        <v>0.62</v>
      </c>
      <c r="T129" s="95">
        <f>$T$2*Таблица12[[#This Row],[x]]+$S$2*(1-Таблица12[[#This Row],[x]])</f>
        <v>35.73747561603804</v>
      </c>
    </row>
    <row r="130" spans="19:20" ht="15.6" x14ac:dyDescent="0.3">
      <c r="S130" s="97">
        <v>0.625</v>
      </c>
      <c r="T130" s="95">
        <f>$T$2*Таблица12[[#This Row],[x]]+$S$2*(1-Таблица12[[#This Row],[x]])</f>
        <v>35.546825802669119</v>
      </c>
    </row>
    <row r="131" spans="19:20" ht="15.6" x14ac:dyDescent="0.3">
      <c r="S131" s="97">
        <v>0.63</v>
      </c>
      <c r="T131" s="95">
        <f>$T$2*Таблица12[[#This Row],[x]]+$S$2*(1-Таблица12[[#This Row],[x]])</f>
        <v>35.356175989300198</v>
      </c>
    </row>
    <row r="132" spans="19:20" ht="15.6" x14ac:dyDescent="0.3">
      <c r="S132" s="97">
        <v>0.63500000000000001</v>
      </c>
      <c r="T132" s="95">
        <f>$T$2*Таблица12[[#This Row],[x]]+$S$2*(1-Таблица12[[#This Row],[x]])</f>
        <v>35.165526175931276</v>
      </c>
    </row>
    <row r="133" spans="19:20" ht="15.6" x14ac:dyDescent="0.3">
      <c r="S133" s="97">
        <v>0.64</v>
      </c>
      <c r="T133" s="95">
        <f>$T$2*Таблица12[[#This Row],[x]]+$S$2*(1-Таблица12[[#This Row],[x]])</f>
        <v>34.974876362562355</v>
      </c>
    </row>
    <row r="134" spans="19:20" ht="15.6" x14ac:dyDescent="0.3">
      <c r="S134" s="97">
        <v>0.64500000000000002</v>
      </c>
      <c r="T134" s="95">
        <f>$T$2*Таблица12[[#This Row],[x]]+$S$2*(1-Таблица12[[#This Row],[x]])</f>
        <v>34.784226549193434</v>
      </c>
    </row>
    <row r="135" spans="19:20" ht="15.6" x14ac:dyDescent="0.3">
      <c r="S135" s="97">
        <v>0.65</v>
      </c>
      <c r="T135" s="95">
        <f>$T$2*Таблица12[[#This Row],[x]]+$S$2*(1-Таблица12[[#This Row],[x]])</f>
        <v>34.593576735824513</v>
      </c>
    </row>
    <row r="136" spans="19:20" ht="15.6" x14ac:dyDescent="0.3">
      <c r="S136" s="97">
        <v>0.65500000000000003</v>
      </c>
      <c r="T136" s="95">
        <f>$T$2*Таблица12[[#This Row],[x]]+$S$2*(1-Таблица12[[#This Row],[x]])</f>
        <v>34.402926922455592</v>
      </c>
    </row>
    <row r="137" spans="19:20" ht="15.6" x14ac:dyDescent="0.3">
      <c r="S137" s="97">
        <v>0.66</v>
      </c>
      <c r="T137" s="95">
        <f>$T$2*Таблица12[[#This Row],[x]]+$S$2*(1-Таблица12[[#This Row],[x]])</f>
        <v>34.212277109086671</v>
      </c>
    </row>
    <row r="138" spans="19:20" ht="15.6" x14ac:dyDescent="0.3">
      <c r="S138" s="97">
        <v>0.66500000000000004</v>
      </c>
      <c r="T138" s="95">
        <f>$T$2*Таблица12[[#This Row],[x]]+$S$2*(1-Таблица12[[#This Row],[x]])</f>
        <v>34.021627295717742</v>
      </c>
    </row>
    <row r="139" spans="19:20" ht="15.6" x14ac:dyDescent="0.3">
      <c r="S139" s="97">
        <v>0.67</v>
      </c>
      <c r="T139" s="95">
        <f>$T$2*Таблица12[[#This Row],[x]]+$S$2*(1-Таблица12[[#This Row],[x]])</f>
        <v>33.830977482348821</v>
      </c>
    </row>
    <row r="140" spans="19:20" ht="15.6" x14ac:dyDescent="0.3">
      <c r="S140" s="97">
        <v>0.67500000000000004</v>
      </c>
      <c r="T140" s="95">
        <f>$T$2*Таблица12[[#This Row],[x]]+$S$2*(1-Таблица12[[#This Row],[x]])</f>
        <v>33.640327668979907</v>
      </c>
    </row>
    <row r="141" spans="19:20" ht="15.6" x14ac:dyDescent="0.3">
      <c r="S141" s="97">
        <v>0.68</v>
      </c>
      <c r="T141" s="95">
        <f>$T$2*Таблица12[[#This Row],[x]]+$S$2*(1-Таблица12[[#This Row],[x]])</f>
        <v>33.449677855610979</v>
      </c>
    </row>
    <row r="142" spans="19:20" ht="15.6" x14ac:dyDescent="0.3">
      <c r="S142" s="97">
        <v>0.68500000000000005</v>
      </c>
      <c r="T142" s="95">
        <f>$T$2*Таблица12[[#This Row],[x]]+$S$2*(1-Таблица12[[#This Row],[x]])</f>
        <v>33.259028042242058</v>
      </c>
    </row>
    <row r="143" spans="19:20" ht="15.6" x14ac:dyDescent="0.3">
      <c r="S143" s="97">
        <v>0.69</v>
      </c>
      <c r="T143" s="95">
        <f>$T$2*Таблица12[[#This Row],[x]]+$S$2*(1-Таблица12[[#This Row],[x]])</f>
        <v>33.068378228873144</v>
      </c>
    </row>
    <row r="144" spans="19:20" ht="15.6" x14ac:dyDescent="0.3">
      <c r="S144" s="97">
        <v>0.69499999999999995</v>
      </c>
      <c r="T144" s="95">
        <f>$T$2*Таблица12[[#This Row],[x]]+$S$2*(1-Таблица12[[#This Row],[x]])</f>
        <v>32.877728415504222</v>
      </c>
    </row>
    <row r="145" spans="19:20" ht="15.6" x14ac:dyDescent="0.3">
      <c r="S145" s="97">
        <v>0.7</v>
      </c>
      <c r="T145" s="95">
        <f>$T$2*Таблица12[[#This Row],[x]]+$S$2*(1-Таблица12[[#This Row],[x]])</f>
        <v>32.687078602135294</v>
      </c>
    </row>
    <row r="146" spans="19:20" ht="15.6" x14ac:dyDescent="0.3">
      <c r="S146" s="97">
        <v>0.70499999999999996</v>
      </c>
      <c r="T146" s="95">
        <f>$T$2*Таблица12[[#This Row],[x]]+$S$2*(1-Таблица12[[#This Row],[x]])</f>
        <v>32.49642878876638</v>
      </c>
    </row>
    <row r="147" spans="19:20" ht="15.6" x14ac:dyDescent="0.3">
      <c r="S147" s="97">
        <v>0.71</v>
      </c>
      <c r="T147" s="95">
        <f>$T$2*Таблица12[[#This Row],[x]]+$S$2*(1-Таблица12[[#This Row],[x]])</f>
        <v>32.305778975397459</v>
      </c>
    </row>
    <row r="148" spans="19:20" ht="15.6" x14ac:dyDescent="0.3">
      <c r="S148" s="97">
        <v>0.71499999999999997</v>
      </c>
      <c r="T148" s="95">
        <f>$T$2*Таблица12[[#This Row],[x]]+$S$2*(1-Таблица12[[#This Row],[x]])</f>
        <v>32.115129162028531</v>
      </c>
    </row>
    <row r="149" spans="19:20" ht="15.6" x14ac:dyDescent="0.3">
      <c r="S149" s="97">
        <v>0.72</v>
      </c>
      <c r="T149" s="95">
        <f>$T$2*Таблица12[[#This Row],[x]]+$S$2*(1-Таблица12[[#This Row],[x]])</f>
        <v>31.924479348659609</v>
      </c>
    </row>
    <row r="150" spans="19:20" ht="15.6" x14ac:dyDescent="0.3">
      <c r="S150" s="97">
        <v>0.72499999999999998</v>
      </c>
      <c r="T150" s="95">
        <f>$T$2*Таблица12[[#This Row],[x]]+$S$2*(1-Таблица12[[#This Row],[x]])</f>
        <v>31.733829535290688</v>
      </c>
    </row>
    <row r="151" spans="19:20" ht="15.6" x14ac:dyDescent="0.3">
      <c r="S151" s="97">
        <v>0.73</v>
      </c>
      <c r="T151" s="95">
        <f>$T$2*Таблица12[[#This Row],[x]]+$S$2*(1-Таблица12[[#This Row],[x]])</f>
        <v>31.543179721921767</v>
      </c>
    </row>
    <row r="152" spans="19:20" ht="15.6" x14ac:dyDescent="0.3">
      <c r="S152" s="97">
        <v>0.73499999999999999</v>
      </c>
      <c r="T152" s="95">
        <f>$T$2*Таблица12[[#This Row],[x]]+$S$2*(1-Таблица12[[#This Row],[x]])</f>
        <v>31.352529908552846</v>
      </c>
    </row>
    <row r="153" spans="19:20" ht="15.6" x14ac:dyDescent="0.3">
      <c r="S153" s="97">
        <v>0.74</v>
      </c>
      <c r="T153" s="95">
        <f>$T$2*Таблица12[[#This Row],[x]]+$S$2*(1-Таблица12[[#This Row],[x]])</f>
        <v>31.161880095183925</v>
      </c>
    </row>
    <row r="154" spans="19:20" ht="15.6" x14ac:dyDescent="0.3">
      <c r="S154" s="97">
        <v>0.745</v>
      </c>
      <c r="T154" s="95">
        <f>$T$2*Таблица12[[#This Row],[x]]+$S$2*(1-Таблица12[[#This Row],[x]])</f>
        <v>30.971230281815004</v>
      </c>
    </row>
    <row r="155" spans="19:20" ht="15.6" x14ac:dyDescent="0.3">
      <c r="S155" s="97">
        <v>0.75</v>
      </c>
      <c r="T155" s="95">
        <f>$T$2*Таблица12[[#This Row],[x]]+$S$2*(1-Таблица12[[#This Row],[x]])</f>
        <v>30.780580468446079</v>
      </c>
    </row>
    <row r="156" spans="19:20" ht="15.6" x14ac:dyDescent="0.3">
      <c r="S156" s="97">
        <v>0.755</v>
      </c>
      <c r="T156" s="95">
        <f>$T$2*Таблица12[[#This Row],[x]]+$S$2*(1-Таблица12[[#This Row],[x]])</f>
        <v>30.589930655077158</v>
      </c>
    </row>
    <row r="157" spans="19:20" ht="15.6" x14ac:dyDescent="0.3">
      <c r="S157" s="97">
        <v>0.76</v>
      </c>
      <c r="T157" s="95">
        <f>$T$2*Таблица12[[#This Row],[x]]+$S$2*(1-Таблица12[[#This Row],[x]])</f>
        <v>30.39928084170824</v>
      </c>
    </row>
    <row r="158" spans="19:20" ht="15.6" x14ac:dyDescent="0.3">
      <c r="S158" s="97">
        <v>0.76500000000000001</v>
      </c>
      <c r="T158" s="95">
        <f>$T$2*Таблица12[[#This Row],[x]]+$S$2*(1-Таблица12[[#This Row],[x]])</f>
        <v>30.208631028339312</v>
      </c>
    </row>
    <row r="159" spans="19:20" ht="15.6" x14ac:dyDescent="0.3">
      <c r="S159" s="97">
        <v>0.77</v>
      </c>
      <c r="T159" s="95">
        <f>$T$2*Таблица12[[#This Row],[x]]+$S$2*(1-Таблица12[[#This Row],[x]])</f>
        <v>30.017981214970391</v>
      </c>
    </row>
    <row r="160" spans="19:20" ht="15.6" x14ac:dyDescent="0.3">
      <c r="S160" s="97">
        <v>0.77500000000000002</v>
      </c>
      <c r="T160" s="95">
        <f>$T$2*Таблица12[[#This Row],[x]]+$S$2*(1-Таблица12[[#This Row],[x]])</f>
        <v>29.827331401601473</v>
      </c>
    </row>
    <row r="161" spans="19:20" ht="15.6" x14ac:dyDescent="0.3">
      <c r="S161" s="97">
        <v>0.78</v>
      </c>
      <c r="T161" s="95">
        <f>$T$2*Таблица12[[#This Row],[x]]+$S$2*(1-Таблица12[[#This Row],[x]])</f>
        <v>29.636681588232548</v>
      </c>
    </row>
    <row r="162" spans="19:20" ht="15.6" x14ac:dyDescent="0.3">
      <c r="S162" s="97">
        <v>0.78500000000000003</v>
      </c>
      <c r="T162" s="95">
        <f>$T$2*Таблица12[[#This Row],[x]]+$S$2*(1-Таблица12[[#This Row],[x]])</f>
        <v>29.446031774863627</v>
      </c>
    </row>
    <row r="163" spans="19:20" ht="15.6" x14ac:dyDescent="0.3">
      <c r="S163" s="97">
        <v>0.79</v>
      </c>
      <c r="T163" s="95">
        <f>$T$2*Таблица12[[#This Row],[x]]+$S$2*(1-Таблица12[[#This Row],[x]])</f>
        <v>29.255381961494706</v>
      </c>
    </row>
    <row r="164" spans="19:20" ht="15.6" x14ac:dyDescent="0.3">
      <c r="S164" s="97">
        <v>0.79500000000000004</v>
      </c>
      <c r="T164" s="95">
        <f>$T$2*Таблица12[[#This Row],[x]]+$S$2*(1-Таблица12[[#This Row],[x]])</f>
        <v>29.064732148125785</v>
      </c>
    </row>
    <row r="165" spans="19:20" ht="15.6" x14ac:dyDescent="0.3">
      <c r="S165" s="97">
        <v>0.8</v>
      </c>
      <c r="T165" s="95">
        <f>$T$2*Таблица12[[#This Row],[x]]+$S$2*(1-Таблица12[[#This Row],[x]])</f>
        <v>28.874082334756864</v>
      </c>
    </row>
    <row r="166" spans="19:20" ht="15.6" x14ac:dyDescent="0.3">
      <c r="S166" s="97">
        <v>0.80500000000000005</v>
      </c>
      <c r="T166" s="95">
        <f>$T$2*Таблица12[[#This Row],[x]]+$S$2*(1-Таблица12[[#This Row],[x]])</f>
        <v>28.683432521387942</v>
      </c>
    </row>
    <row r="167" spans="19:20" ht="15.6" x14ac:dyDescent="0.3">
      <c r="S167" s="97">
        <v>0.81</v>
      </c>
      <c r="T167" s="95">
        <f>$T$2*Таблица12[[#This Row],[x]]+$S$2*(1-Таблица12[[#This Row],[x]])</f>
        <v>28.492782708019018</v>
      </c>
    </row>
    <row r="168" spans="19:20" ht="15.6" x14ac:dyDescent="0.3">
      <c r="S168" s="97">
        <v>0.81499999999999995</v>
      </c>
      <c r="T168" s="95">
        <f>$T$2*Таблица12[[#This Row],[x]]+$S$2*(1-Таблица12[[#This Row],[x]])</f>
        <v>28.3021328946501</v>
      </c>
    </row>
    <row r="169" spans="19:20" ht="15.6" x14ac:dyDescent="0.3">
      <c r="S169" s="97">
        <v>0.82</v>
      </c>
      <c r="T169" s="95">
        <f>$T$2*Таблица12[[#This Row],[x]]+$S$2*(1-Таблица12[[#This Row],[x]])</f>
        <v>28.111483081281179</v>
      </c>
    </row>
    <row r="170" spans="19:20" ht="15.6" x14ac:dyDescent="0.3">
      <c r="S170" s="97">
        <v>0.82499999999999996</v>
      </c>
      <c r="T170" s="95">
        <f>$T$2*Таблица12[[#This Row],[x]]+$S$2*(1-Таблица12[[#This Row],[x]])</f>
        <v>27.920833267912258</v>
      </c>
    </row>
    <row r="171" spans="19:20" ht="15.6" x14ac:dyDescent="0.3">
      <c r="S171" s="97">
        <v>0.83</v>
      </c>
      <c r="T171" s="95">
        <f>$T$2*Таблица12[[#This Row],[x]]+$S$2*(1-Таблица12[[#This Row],[x]])</f>
        <v>27.730183454543337</v>
      </c>
    </row>
    <row r="172" spans="19:20" ht="15.6" x14ac:dyDescent="0.3">
      <c r="S172" s="97">
        <v>0.83499999999999996</v>
      </c>
      <c r="T172" s="95">
        <f>$T$2*Таблица12[[#This Row],[x]]+$S$2*(1-Таблица12[[#This Row],[x]])</f>
        <v>27.539533641174415</v>
      </c>
    </row>
    <row r="173" spans="19:20" ht="15.6" x14ac:dyDescent="0.3">
      <c r="S173" s="97">
        <v>0.84</v>
      </c>
      <c r="T173" s="95">
        <f>$T$2*Таблица12[[#This Row],[x]]+$S$2*(1-Таблица12[[#This Row],[x]])</f>
        <v>27.348883827805491</v>
      </c>
    </row>
    <row r="174" spans="19:20" ht="15.6" x14ac:dyDescent="0.3">
      <c r="S174" s="97">
        <v>0.84499999999999997</v>
      </c>
      <c r="T174" s="95">
        <f>$T$2*Таблица12[[#This Row],[x]]+$S$2*(1-Таблица12[[#This Row],[x]])</f>
        <v>27.158234014436569</v>
      </c>
    </row>
    <row r="175" spans="19:20" ht="15.6" x14ac:dyDescent="0.3">
      <c r="S175" s="97">
        <v>0.85</v>
      </c>
      <c r="T175" s="95">
        <f>$T$2*Таблица12[[#This Row],[x]]+$S$2*(1-Таблица12[[#This Row],[x]])</f>
        <v>26.967584201067648</v>
      </c>
    </row>
    <row r="176" spans="19:20" ht="15.6" x14ac:dyDescent="0.3">
      <c r="S176" s="97">
        <v>0.85499999999999998</v>
      </c>
      <c r="T176" s="95">
        <f>$T$2*Таблица12[[#This Row],[x]]+$S$2*(1-Таблица12[[#This Row],[x]])</f>
        <v>26.776934387698724</v>
      </c>
    </row>
    <row r="177" spans="19:20" ht="15.6" x14ac:dyDescent="0.3">
      <c r="S177" s="97">
        <v>0.86</v>
      </c>
      <c r="T177" s="95">
        <f>$T$2*Таблица12[[#This Row],[x]]+$S$2*(1-Таблица12[[#This Row],[x]])</f>
        <v>26.586284574329802</v>
      </c>
    </row>
    <row r="178" spans="19:20" ht="15.6" x14ac:dyDescent="0.3">
      <c r="S178" s="97">
        <v>0.86499999999999999</v>
      </c>
      <c r="T178" s="95">
        <f>$T$2*Таблица12[[#This Row],[x]]+$S$2*(1-Таблица12[[#This Row],[x]])</f>
        <v>26.395634760960881</v>
      </c>
    </row>
    <row r="179" spans="19:20" ht="15.6" x14ac:dyDescent="0.3">
      <c r="S179" s="97">
        <v>0.87</v>
      </c>
      <c r="T179" s="95">
        <f>$T$2*Таблица12[[#This Row],[x]]+$S$2*(1-Таблица12[[#This Row],[x]])</f>
        <v>26.20498494759196</v>
      </c>
    </row>
    <row r="180" spans="19:20" ht="15.6" x14ac:dyDescent="0.3">
      <c r="S180" s="97">
        <v>0.875</v>
      </c>
      <c r="T180" s="95">
        <f>$T$2*Таблица12[[#This Row],[x]]+$S$2*(1-Таблица12[[#This Row],[x]])</f>
        <v>26.014335134223039</v>
      </c>
    </row>
    <row r="181" spans="19:20" ht="15.6" x14ac:dyDescent="0.3">
      <c r="S181" s="97">
        <v>0.88</v>
      </c>
      <c r="T181" s="95">
        <f>$T$2*Таблица12[[#This Row],[x]]+$S$2*(1-Таблица12[[#This Row],[x]])</f>
        <v>25.823685320854118</v>
      </c>
    </row>
    <row r="182" spans="19:20" ht="15.6" x14ac:dyDescent="0.3">
      <c r="S182" s="97">
        <v>0.88500000000000001</v>
      </c>
      <c r="T182" s="95">
        <f>$T$2*Таблица12[[#This Row],[x]]+$S$2*(1-Таблица12[[#This Row],[x]])</f>
        <v>25.633035507485193</v>
      </c>
    </row>
    <row r="183" spans="19:20" ht="15.6" x14ac:dyDescent="0.3">
      <c r="S183" s="97">
        <v>0.89</v>
      </c>
      <c r="T183" s="95">
        <f>$T$2*Таблица12[[#This Row],[x]]+$S$2*(1-Таблица12[[#This Row],[x]])</f>
        <v>25.442385694116275</v>
      </c>
    </row>
    <row r="184" spans="19:20" ht="15.6" x14ac:dyDescent="0.3">
      <c r="S184" s="97">
        <v>0.89500000000000002</v>
      </c>
      <c r="T184" s="95">
        <f>$T$2*Таблица12[[#This Row],[x]]+$S$2*(1-Таблица12[[#This Row],[x]])</f>
        <v>25.251735880747354</v>
      </c>
    </row>
    <row r="185" spans="19:20" ht="15.6" x14ac:dyDescent="0.3">
      <c r="S185" s="97">
        <v>0.9</v>
      </c>
      <c r="T185" s="95">
        <f>$T$2*Таблица12[[#This Row],[x]]+$S$2*(1-Таблица12[[#This Row],[x]])</f>
        <v>25.061086067378429</v>
      </c>
    </row>
    <row r="186" spans="19:20" ht="15.6" x14ac:dyDescent="0.3">
      <c r="S186" s="97">
        <v>0.90500000000000003</v>
      </c>
      <c r="T186" s="95">
        <f>$T$2*Таблица12[[#This Row],[x]]+$S$2*(1-Таблица12[[#This Row],[x]])</f>
        <v>24.870436254009508</v>
      </c>
    </row>
    <row r="187" spans="19:20" ht="15.6" x14ac:dyDescent="0.3">
      <c r="S187" s="97">
        <v>0.91</v>
      </c>
      <c r="T187" s="95">
        <f>$T$2*Таблица12[[#This Row],[x]]+$S$2*(1-Таблица12[[#This Row],[x]])</f>
        <v>24.679786440640587</v>
      </c>
    </row>
    <row r="188" spans="19:20" ht="15.6" x14ac:dyDescent="0.3">
      <c r="S188" s="97">
        <v>0.91500000000000004</v>
      </c>
      <c r="T188" s="95">
        <f>$T$2*Таблица12[[#This Row],[x]]+$S$2*(1-Таблица12[[#This Row],[x]])</f>
        <v>24.489136627271662</v>
      </c>
    </row>
    <row r="189" spans="19:20" ht="15.6" x14ac:dyDescent="0.3">
      <c r="S189" s="97">
        <v>0.92</v>
      </c>
      <c r="T189" s="95">
        <f>$T$2*Таблица12[[#This Row],[x]]+$S$2*(1-Таблица12[[#This Row],[x]])</f>
        <v>24.298486813902741</v>
      </c>
    </row>
    <row r="190" spans="19:20" ht="15.6" x14ac:dyDescent="0.3">
      <c r="S190" s="97">
        <v>0.92500000000000004</v>
      </c>
      <c r="T190" s="95">
        <f>$T$2*Таблица12[[#This Row],[x]]+$S$2*(1-Таблица12[[#This Row],[x]])</f>
        <v>24.107837000533824</v>
      </c>
    </row>
    <row r="191" spans="19:20" ht="15.6" x14ac:dyDescent="0.3">
      <c r="S191" s="97">
        <v>0.93</v>
      </c>
      <c r="T191" s="95">
        <f>$T$2*Таблица12[[#This Row],[x]]+$S$2*(1-Таблица12[[#This Row],[x]])</f>
        <v>23.917187187164899</v>
      </c>
    </row>
    <row r="192" spans="19:20" ht="15.6" x14ac:dyDescent="0.3">
      <c r="S192" s="97">
        <v>0.93500000000000005</v>
      </c>
      <c r="T192" s="95">
        <f>$T$2*Таблица12[[#This Row],[x]]+$S$2*(1-Таблица12[[#This Row],[x]])</f>
        <v>23.726537373795978</v>
      </c>
    </row>
    <row r="193" spans="19:20" ht="15.6" x14ac:dyDescent="0.3">
      <c r="S193" s="97">
        <v>0.94</v>
      </c>
      <c r="T193" s="95">
        <f>$T$2*Таблица12[[#This Row],[x]]+$S$2*(1-Таблица12[[#This Row],[x]])</f>
        <v>23.53588756042706</v>
      </c>
    </row>
    <row r="194" spans="19:20" ht="15.6" x14ac:dyDescent="0.3">
      <c r="S194" s="97">
        <v>0.94499999999999995</v>
      </c>
      <c r="T194" s="95">
        <f>$T$2*Таблица12[[#This Row],[x]]+$S$2*(1-Таблица12[[#This Row],[x]])</f>
        <v>23.345237747058139</v>
      </c>
    </row>
    <row r="195" spans="19:20" ht="15.6" x14ac:dyDescent="0.3">
      <c r="S195" s="97">
        <v>0.95</v>
      </c>
      <c r="T195" s="95">
        <f>$T$2*Таблица12[[#This Row],[x]]+$S$2*(1-Таблица12[[#This Row],[x]])</f>
        <v>23.154587933689214</v>
      </c>
    </row>
    <row r="196" spans="19:20" ht="15.6" x14ac:dyDescent="0.3">
      <c r="S196" s="97">
        <v>0.95499999999999996</v>
      </c>
      <c r="T196" s="95">
        <f>$T$2*Таблица12[[#This Row],[x]]+$S$2*(1-Таблица12[[#This Row],[x]])</f>
        <v>22.963938120320293</v>
      </c>
    </row>
    <row r="197" spans="19:20" ht="15.6" x14ac:dyDescent="0.3">
      <c r="S197" s="97">
        <v>0.96</v>
      </c>
      <c r="T197" s="95">
        <f>$T$2*Таблица12[[#This Row],[x]]+$S$2*(1-Таблица12[[#This Row],[x]])</f>
        <v>22.773288306951375</v>
      </c>
    </row>
    <row r="198" spans="19:20" ht="15.6" x14ac:dyDescent="0.3">
      <c r="S198" s="97">
        <v>0.96499999999999997</v>
      </c>
      <c r="T198" s="95">
        <f>$T$2*Таблица12[[#This Row],[x]]+$S$2*(1-Таблица12[[#This Row],[x]])</f>
        <v>22.582638493582451</v>
      </c>
    </row>
    <row r="199" spans="19:20" ht="15.6" x14ac:dyDescent="0.3">
      <c r="S199" s="97">
        <v>0.97</v>
      </c>
      <c r="T199" s="95">
        <f>$T$2*Таблица12[[#This Row],[x]]+$S$2*(1-Таблица12[[#This Row],[x]])</f>
        <v>22.39198868021353</v>
      </c>
    </row>
    <row r="200" spans="19:20" ht="15.6" x14ac:dyDescent="0.3">
      <c r="S200" s="97">
        <v>0.97499999999999998</v>
      </c>
      <c r="T200" s="95">
        <f>$T$2*Таблица12[[#This Row],[x]]+$S$2*(1-Таблица12[[#This Row],[x]])</f>
        <v>22.201338866844608</v>
      </c>
    </row>
    <row r="201" spans="19:20" ht="15.6" x14ac:dyDescent="0.3">
      <c r="S201" s="97">
        <v>0.98</v>
      </c>
      <c r="T201" s="95">
        <f>$T$2*Таблица12[[#This Row],[x]]+$S$2*(1-Таблица12[[#This Row],[x]])</f>
        <v>22.010689053475684</v>
      </c>
    </row>
    <row r="202" spans="19:20" ht="15.6" x14ac:dyDescent="0.3">
      <c r="S202" s="97">
        <v>0.98499999999999999</v>
      </c>
      <c r="T202" s="95">
        <f>$T$2*Таблица12[[#This Row],[x]]+$S$2*(1-Таблица12[[#This Row],[x]])</f>
        <v>21.820039240106766</v>
      </c>
    </row>
    <row r="203" spans="19:20" ht="15.6" x14ac:dyDescent="0.3">
      <c r="S203" s="97">
        <v>0.99</v>
      </c>
      <c r="T203" s="95">
        <f>$T$2*Таблица12[[#This Row],[x]]+$S$2*(1-Таблица12[[#This Row],[x]])</f>
        <v>21.629389426737845</v>
      </c>
    </row>
    <row r="204" spans="19:20" ht="15.6" x14ac:dyDescent="0.3">
      <c r="S204" s="97">
        <v>0.995</v>
      </c>
      <c r="T204" s="95">
        <f>$T$2*Таблица12[[#This Row],[x]]+$S$2*(1-Таблица12[[#This Row],[x]])</f>
        <v>21.43873961336892</v>
      </c>
    </row>
    <row r="205" spans="19:20" ht="15.6" x14ac:dyDescent="0.3">
      <c r="S205" s="97">
        <v>1</v>
      </c>
      <c r="T205" s="95">
        <f>$T$2*Таблица12[[#This Row],[x]]+$S$2*(1-Таблица12[[#This Row],[x]])</f>
        <v>21.248089799999999</v>
      </c>
    </row>
  </sheetData>
  <phoneticPr fontId="13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W144"/>
  <sheetViews>
    <sheetView topLeftCell="L1" zoomScale="160" zoomScaleNormal="160" workbookViewId="0">
      <selection activeCell="Y4" sqref="Y4"/>
    </sheetView>
  </sheetViews>
  <sheetFormatPr defaultRowHeight="14.4" x14ac:dyDescent="0.3"/>
  <cols>
    <col min="1" max="1" width="3.44140625" customWidth="1"/>
    <col min="2" max="2" width="8.109375" hidden="1" customWidth="1"/>
    <col min="3" max="12" width="8" customWidth="1"/>
    <col min="13" max="13" width="11.33203125" customWidth="1"/>
    <col min="18" max="18" width="9.44140625" customWidth="1"/>
    <col min="19" max="19" width="9.5546875" customWidth="1"/>
  </cols>
  <sheetData>
    <row r="1" spans="1:23" ht="28.8" x14ac:dyDescent="0.3">
      <c r="J1" s="1" t="s">
        <v>0</v>
      </c>
      <c r="L1" s="11"/>
      <c r="M1" s="11"/>
      <c r="U1" s="2" t="s">
        <v>33</v>
      </c>
      <c r="V1" s="8" t="s">
        <v>35</v>
      </c>
      <c r="W1" s="8" t="s">
        <v>41</v>
      </c>
    </row>
    <row r="2" spans="1:23" x14ac:dyDescent="0.3">
      <c r="J2" s="2">
        <v>0.86</v>
      </c>
      <c r="L2" s="11"/>
      <c r="M2" s="12"/>
      <c r="U2">
        <v>5</v>
      </c>
      <c r="V2">
        <v>74.12</v>
      </c>
      <c r="W2">
        <v>418.4</v>
      </c>
    </row>
    <row r="4" spans="1:23" s="2" customFormat="1" ht="43.8" thickBot="1" x14ac:dyDescent="0.35">
      <c r="A4" s="13" t="s">
        <v>13</v>
      </c>
      <c r="B4" s="13" t="s">
        <v>36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11</v>
      </c>
      <c r="I4" s="13" t="s">
        <v>9</v>
      </c>
      <c r="J4" s="13" t="s">
        <v>10</v>
      </c>
      <c r="K4" s="13" t="s">
        <v>6</v>
      </c>
      <c r="L4" s="13" t="s">
        <v>7</v>
      </c>
      <c r="M4" s="13" t="s">
        <v>8</v>
      </c>
      <c r="N4" s="13" t="s">
        <v>14</v>
      </c>
      <c r="O4" s="13" t="s">
        <v>15</v>
      </c>
      <c r="P4" s="13" t="s">
        <v>16</v>
      </c>
      <c r="Q4" s="13" t="s">
        <v>12</v>
      </c>
      <c r="R4" s="68" t="s">
        <v>37</v>
      </c>
      <c r="S4" s="68" t="s">
        <v>38</v>
      </c>
      <c r="T4" s="68" t="s">
        <v>39</v>
      </c>
      <c r="U4" s="68" t="s">
        <v>34</v>
      </c>
      <c r="V4" s="68" t="s">
        <v>40</v>
      </c>
      <c r="W4" s="68" t="s">
        <v>42</v>
      </c>
    </row>
    <row r="5" spans="1:23" x14ac:dyDescent="0.3">
      <c r="A5" s="23">
        <v>1</v>
      </c>
      <c r="B5" s="14"/>
      <c r="C5" s="35">
        <v>25.568200000000001</v>
      </c>
      <c r="D5" s="29">
        <v>34.882399999999997</v>
      </c>
      <c r="E5" s="15">
        <f>Эксперимент[[#This Row],[m0
смесь    
стакан]]-Эксперимент[[#This Row],[m
стакан]]</f>
        <v>9.314199999999996</v>
      </c>
      <c r="F5" s="44">
        <v>9.3141999999999996</v>
      </c>
      <c r="G5" s="46">
        <v>0</v>
      </c>
      <c r="H5" s="99">
        <v>0</v>
      </c>
      <c r="I5" s="15">
        <f>(Эксперимент[[#This Row],[m0
смесь]]*Эксперимент[[#This Row],[w%1 т
спирт ]]-Эксперимент[[#This Row],[m0
спирт]])/(1-Эксперимент[[#This Row],[w%1 т
спирт ]])</f>
        <v>0</v>
      </c>
      <c r="J5" s="24">
        <f>Эксперимент[[#This Row],[m+ т
спирт]]/Эксперимент_доп[ro 
спирт]*1000</f>
        <v>0</v>
      </c>
      <c r="K5" s="29">
        <v>34.882399999999997</v>
      </c>
      <c r="L5" s="15">
        <f>Эксперимент[[#This Row],[m1 
смесь
стакан]]-Эксперимент[[#This Row],[m
стакан]]</f>
        <v>9.314199999999996</v>
      </c>
      <c r="M5" s="38">
        <f>Эксперимент[[#This Row],[m1 
смесь
стакан]]-Эксперимент[[#This Row],[m0
смесь    
стакан]]</f>
        <v>0</v>
      </c>
      <c r="N5" s="33">
        <f>Эксперимент[[#This Row],[m1 
смесь
стакан]]</f>
        <v>34.882399999999997</v>
      </c>
      <c r="O5" s="15">
        <f>Эксперимент[[#This Row],[m2
смесь
стакан]]-Эксперимент[[#This Row],[m
стакан]]</f>
        <v>9.314199999999996</v>
      </c>
      <c r="P5" s="16">
        <f>Эксперимент[[#This Row],[m2
смесь
стакан]]-Эксперимент[[#This Row],[m1 
смесь
стакан]]</f>
        <v>0</v>
      </c>
      <c r="Q5" s="48">
        <f>(Эксперимент[[#This Row],[m0
спирт]]+Эксперимент[[#This Row],[m+
спирта]])/Эксперимент[[#This Row],[m2
смеси]]</f>
        <v>0</v>
      </c>
      <c r="R5" s="101">
        <v>1</v>
      </c>
      <c r="S5" s="33">
        <v>9.58</v>
      </c>
      <c r="T5" s="41">
        <f>Эксперимент[[#This Row],[mП г
смесь    
пик ]]-Эксперимент[[#This Row],[mП г
пик]]</f>
        <v>8.58</v>
      </c>
      <c r="U5" s="75">
        <f>Эксперимент[[#This Row],[mП г
смесь     ]]/Плотности_доп[V пик мл]</f>
        <v>1.716</v>
      </c>
      <c r="V5" s="70">
        <f>Эксперимент[[#This Row],[w%1 
]]*Эксперимент[[#This Row],[mП г
смесь     ]]/Плотности_доп[M спирт г/моль]*1000</f>
        <v>0</v>
      </c>
      <c r="W5" s="74">
        <f>(1-Эксперимент[[#This Row],[w%1 
]])*Эксперимент[[#This Row],[mП г
смесь     ]]/Плотности_доп[M ОКМ г/моль]*1000</f>
        <v>20.506692160611856</v>
      </c>
    </row>
    <row r="6" spans="1:23" x14ac:dyDescent="0.3">
      <c r="A6" s="23">
        <f t="shared" ref="A6:A13" si="0">A5+1</f>
        <v>2</v>
      </c>
      <c r="B6" s="14"/>
      <c r="C6" s="36">
        <v>26.550599999999999</v>
      </c>
      <c r="D6" s="30">
        <v>35.750999999999998</v>
      </c>
      <c r="E6" s="15">
        <f>Эксперимент[[#This Row],[m0
смесь    
стакан]]-Эксперимент[[#This Row],[m
стакан]]</f>
        <v>9.2003999999999984</v>
      </c>
      <c r="F6" s="44">
        <f>Эксперимент[[#This Row],[m0
смесь]]*(1-Q5)</f>
        <v>9.2003999999999984</v>
      </c>
      <c r="G6" s="46">
        <f>Эксперимент[[#This Row],[m0
смесь]]*Q5</f>
        <v>0</v>
      </c>
      <c r="H6" s="99">
        <f t="shared" ref="H6:H13" si="1">H5+0.025</f>
        <v>2.5000000000000001E-2</v>
      </c>
      <c r="I6" s="15">
        <f>(Эксперимент[[#This Row],[m0
смесь]]*Эксперимент[[#This Row],[w%1 т
спирт ]]-Эксперимент[[#This Row],[m0
спирт]])/(1-Эксперимент[[#This Row],[w%1 т
спирт ]])</f>
        <v>0.23590769230769229</v>
      </c>
      <c r="J6" s="25">
        <f>Эксперимент[[#This Row],[m+ т
спирт]]/Эксперимент_доп[ro 
спирт]*1000</f>
        <v>274.31127012522359</v>
      </c>
      <c r="K6" s="30">
        <v>35.976700000000001</v>
      </c>
      <c r="L6" s="15">
        <f>Эксперимент[[#This Row],[m1 
смесь
стакан]]-Эксперимент[[#This Row],[m
стакан]]</f>
        <v>9.4261000000000017</v>
      </c>
      <c r="M6" s="38">
        <f>Эксперимент[[#This Row],[m1 
смесь
стакан]]-Эксперимент[[#This Row],[m0
смесь    
стакан]]</f>
        <v>0.22570000000000334</v>
      </c>
      <c r="N6" s="34">
        <f>Эксперимент[[#This Row],[m1 
смесь
стакан]]</f>
        <v>35.976700000000001</v>
      </c>
      <c r="O6" s="15">
        <f>Эксперимент[[#This Row],[m2
смесь
стакан]]-Эксперимент[[#This Row],[m
стакан]]</f>
        <v>9.4261000000000017</v>
      </c>
      <c r="P6" s="16">
        <f>Эксперимент[[#This Row],[m2
смесь
стакан]]-Эксперимент[[#This Row],[m1 
смесь
стакан]]</f>
        <v>0</v>
      </c>
      <c r="Q6" s="49">
        <f>(Эксперимент[[#This Row],[m0
спирт]]+Эксперимент[[#This Row],[m+
спирта]])/Эксперимент[[#This Row],[m2
смеси]]</f>
        <v>2.3944155058826376E-2</v>
      </c>
      <c r="R6" s="102">
        <v>10.4788</v>
      </c>
      <c r="S6" s="34">
        <v>18.361999999999998</v>
      </c>
      <c r="T6" s="41">
        <f>Эксперимент[[#This Row],[mП г
смесь    
пик ]]-Эксперимент[[#This Row],[mП г
пик]]</f>
        <v>7.8831999999999987</v>
      </c>
      <c r="U6" s="75">
        <f>Эксперимент[[#This Row],[mП г
смесь     ]]/Плотности_доп[V пик мл]</f>
        <v>1.5766399999999998</v>
      </c>
      <c r="V6" s="71">
        <f>Эксперимент[[#This Row],[w%1 
]]*Эксперимент[[#This Row],[mП г
смесь     ]]/Плотности_доп[M спирт г/моль]*1000</f>
        <v>2.5466346891492182</v>
      </c>
      <c r="W6" s="74">
        <f>(1-Эксперимент[[#This Row],[w%1 
]])*Эксперимент[[#This Row],[mП г
смесь     ]]/Плотности_доп[M ОКМ г/моль]*1000</f>
        <v>18.390161177916486</v>
      </c>
    </row>
    <row r="7" spans="1:23" hidden="1" x14ac:dyDescent="0.3">
      <c r="A7" s="23">
        <f t="shared" si="0"/>
        <v>3</v>
      </c>
      <c r="B7" s="17" t="s">
        <v>17</v>
      </c>
      <c r="C7" s="36">
        <v>26.550599999999999</v>
      </c>
      <c r="D7" s="31">
        <v>35.178199999999997</v>
      </c>
      <c r="E7" s="18">
        <f>Эксперимент[[#This Row],[m0
смесь    
стакан]]-Эксперимент[[#This Row],[m
стакан]]</f>
        <v>8.6275999999999975</v>
      </c>
      <c r="F7" s="44">
        <f>Эксперимент[[#This Row],[m0
смесь]]*(1-Q6)</f>
        <v>8.421019407814466</v>
      </c>
      <c r="G7" s="46">
        <f>Эксперимент[[#This Row],[m0
смесь]]*Q6</f>
        <v>0.20658059218553038</v>
      </c>
      <c r="H7" s="99">
        <f t="shared" si="1"/>
        <v>0.05</v>
      </c>
      <c r="I7" s="18">
        <f>(Эксперимент[[#This Row],[m0
смесь]]*Эксперимент[[#This Row],[w%1 т
спирт ]]-Эксперимент[[#This Row],[m0
спирт]])/(1-Эксперимент[[#This Row],[w%1 т
спирт ]])</f>
        <v>0.23663095559417843</v>
      </c>
      <c r="J7" s="26">
        <f>Эксперимент[[#This Row],[m+ т
спирт]]/Эксперимент_доп[ro 
спирт]*1000</f>
        <v>275.15227394671911</v>
      </c>
      <c r="K7" s="31">
        <v>35.178199999999997</v>
      </c>
      <c r="L7" s="18">
        <f>Эксперимент[[#This Row],[m1 
смесь
стакан]]-Эксперимент[[#This Row],[m
стакан]]</f>
        <v>8.6275999999999975</v>
      </c>
      <c r="M7" s="39">
        <f>Эксперимент[[#This Row],[m1 
смесь
стакан]]-Эксперимент[[#This Row],[m0
смесь    
стакан]]</f>
        <v>0</v>
      </c>
      <c r="N7" s="34">
        <v>35.976700000000001</v>
      </c>
      <c r="O7" s="18">
        <f>Эксперимент[[#This Row],[m2
смесь
стакан]]-Эксперимент[[#This Row],[m
стакан]]</f>
        <v>9.4261000000000017</v>
      </c>
      <c r="P7" s="19">
        <f>Эксперимент[[#This Row],[m2
смесь
стакан]]-Эксперимент[[#This Row],[m1 
смесь
стакан]]</f>
        <v>0.79850000000000421</v>
      </c>
      <c r="Q7" s="49">
        <f>(Эксперимент[[#This Row],[m0
спирт]]+Эксперимент[[#This Row],[m+
спирта]])/Эксперимент[[#This Row],[m2
смеси]]</f>
        <v>2.1915807405558006E-2</v>
      </c>
      <c r="R7" s="102">
        <v>1</v>
      </c>
      <c r="S7" s="34">
        <v>6</v>
      </c>
      <c r="T7" s="42">
        <f>Эксперимент[[#This Row],[mП г
смесь    
пик ]]-Эксперимент[[#This Row],[mП г
пик]]</f>
        <v>5</v>
      </c>
      <c r="U7" s="75">
        <f>Эксперимент[[#This Row],[mП г
смесь     ]]/Плотности_доп[V пик мл]</f>
        <v>1</v>
      </c>
      <c r="V7" s="71">
        <f>Эксперимент[[#This Row],[w%1 
]]*Эксперимент[[#This Row],[mП г
смесь     ]]/Плотности_доп[M спирт г/моль]*1000</f>
        <v>1.4784003916323534</v>
      </c>
      <c r="W7" s="74">
        <f>(1-Эксперимент[[#This Row],[w%1 
]])*Эксперимент[[#This Row],[mП г
смесь     ]]/Плотности_доп[M ОКМ г/моль]*1000</f>
        <v>11.688386622782529</v>
      </c>
    </row>
    <row r="8" spans="1:23" x14ac:dyDescent="0.3">
      <c r="A8" s="23">
        <f t="shared" si="0"/>
        <v>4</v>
      </c>
      <c r="B8" s="14"/>
      <c r="C8" s="36">
        <v>26.550599999999999</v>
      </c>
      <c r="D8" s="34">
        <v>44.033299999999997</v>
      </c>
      <c r="E8" s="15">
        <f>Эксперимент[[#This Row],[m0
смесь    
стакан]]-Эксперимент[[#This Row],[m
стакан]]</f>
        <v>17.482699999999998</v>
      </c>
      <c r="F8" s="44">
        <f>Эксперимент[[#This Row],[m0
смесь]]*(1-Q7)</f>
        <v>17.099552513870851</v>
      </c>
      <c r="G8" s="46">
        <f>Эксперимент[[#This Row],[m0
смесь]]*Q7</f>
        <v>0.3831474861291489</v>
      </c>
      <c r="H8" s="99">
        <v>0.05</v>
      </c>
      <c r="I8" s="15">
        <f>(Эксперимент[[#This Row],[m0
смесь]]*Эксперимент[[#This Row],[w%1 т
спирт ]]-Эксперимент[[#This Row],[m0
спирт]])/(1-Эксперимент[[#This Row],[w%1 т
спирт ]])</f>
        <v>0.51682896196931682</v>
      </c>
      <c r="J8" s="25">
        <f>Эксперимент[[#This Row],[m+ т
спирт]]/Эксперимент_доп[ro 
спирт]*1000</f>
        <v>600.96390926664742</v>
      </c>
      <c r="K8" s="30">
        <v>44.546799999999998</v>
      </c>
      <c r="L8" s="15">
        <f>Эксперимент[[#This Row],[m1 
смесь
стакан]]-Эксперимент[[#This Row],[m
стакан]]</f>
        <v>17.996199999999998</v>
      </c>
      <c r="M8" s="38">
        <f>Эксперимент[[#This Row],[m1 
смесь
стакан]]-Эксперимент[[#This Row],[m0
смесь    
стакан]]</f>
        <v>0.51350000000000051</v>
      </c>
      <c r="N8" s="30">
        <f>Эксперимент[[#This Row],[m1 
смесь
стакан]]</f>
        <v>44.546799999999998</v>
      </c>
      <c r="O8" s="15">
        <f>Эксперимент[[#This Row],[m2
смесь
стакан]]-Эксперимент[[#This Row],[m
стакан]]</f>
        <v>17.996199999999998</v>
      </c>
      <c r="P8" s="16">
        <f>Эксперимент[[#This Row],[m2
смесь
стакан]]-Эксперимент[[#This Row],[m1 
смесь
стакан]]</f>
        <v>0</v>
      </c>
      <c r="Q8" s="49">
        <f>(Эксперимент[[#This Row],[m0
спирт]]+Эксперимент[[#This Row],[m+
спирта]])/Эксперимент[[#This Row],[m2
смеси]]</f>
        <v>4.9824267685908662E-2</v>
      </c>
      <c r="R8" s="102">
        <v>10.4664</v>
      </c>
      <c r="S8" s="34">
        <v>18.3123</v>
      </c>
      <c r="T8" s="41">
        <f>Эксперимент[[#This Row],[mП г
смесь    
пик ]]-Эксперимент[[#This Row],[mП г
пик]]</f>
        <v>7.8459000000000003</v>
      </c>
      <c r="U8" s="75">
        <f>Эксперимент[[#This Row],[mП г
смесь     ]]/Плотности_доп[V пик мл]</f>
        <v>1.56918</v>
      </c>
      <c r="V8" s="71">
        <f>Эксперимент[[#This Row],[w%1 
]]*Эксперимент[[#This Row],[mП г
смесь     ]]/Плотности_доп[M спирт г/моль]*1000</f>
        <v>5.2740990533846572</v>
      </c>
      <c r="W8" s="74">
        <f>(1-Эксперимент[[#This Row],[w%1 
]])*Эксперимент[[#This Row],[mП г
смесь     ]]/Плотности_доп[M ОКМ г/моль]*1000</f>
        <v>17.817838857942473</v>
      </c>
    </row>
    <row r="9" spans="1:23" s="3" customFormat="1" x14ac:dyDescent="0.3">
      <c r="A9" s="23">
        <f t="shared" si="0"/>
        <v>5</v>
      </c>
      <c r="B9" s="20"/>
      <c r="C9" s="36">
        <v>28.312799999999999</v>
      </c>
      <c r="D9" s="30">
        <v>43.848700000000001</v>
      </c>
      <c r="E9" s="21">
        <f>Эксперимент[[#This Row],[m0
смесь    
стакан]]-Эксперимент[[#This Row],[m
стакан]]</f>
        <v>15.535900000000002</v>
      </c>
      <c r="F9" s="44">
        <f>Эксперимент[[#This Row],[m0
смесь]]*(1-Q8)</f>
        <v>14.761835159658494</v>
      </c>
      <c r="G9" s="47">
        <f>Эксперимент[[#This Row],[m0
смесь]]*Q8</f>
        <v>0.77406484034150846</v>
      </c>
      <c r="H9" s="99">
        <f t="shared" si="1"/>
        <v>7.5000000000000011E-2</v>
      </c>
      <c r="I9" s="21">
        <f>(Эксперимент[[#This Row],[m0
смесь]]*Эксперимент[[#This Row],[w%1 т
спирт ]]-Эксперимент[[#This Row],[m0
спирт]])/(1-Эксперимент[[#This Row],[w%1 т
спирт ]])</f>
        <v>0.42284071314431548</v>
      </c>
      <c r="J9" s="27">
        <f>Эксперимент[[#This Row],[m+ т
спирт]]/Эксперимент_доп[ro 
спирт]*1000</f>
        <v>491.67524784222735</v>
      </c>
      <c r="K9" s="30">
        <v>44.288899999999998</v>
      </c>
      <c r="L9" s="21">
        <f>Эксперимент[[#This Row],[m1 
смесь
стакан]]-Эксперимент[[#This Row],[m
стакан]]</f>
        <v>15.976099999999999</v>
      </c>
      <c r="M9" s="40">
        <f>Эксперимент[[#This Row],[m1 
смесь
стакан]]-Эксперимент[[#This Row],[m0
смесь    
стакан]]</f>
        <v>0.44019999999999726</v>
      </c>
      <c r="N9" s="30">
        <f>Эксперимент[[#This Row],[m1 
смесь
стакан]]</f>
        <v>44.288899999999998</v>
      </c>
      <c r="O9" s="21">
        <f>Эксперимент[[#This Row],[m2
смесь
стакан]]-Эксперимент[[#This Row],[m
стакан]]</f>
        <v>15.976099999999999</v>
      </c>
      <c r="P9" s="22">
        <f>Эксперимент[[#This Row],[m2
смесь
стакан]]-Эксперимент[[#This Row],[m1 
смесь
стакан]]</f>
        <v>0</v>
      </c>
      <c r="Q9" s="50">
        <f>(Эксперимент[[#This Row],[m0
спирт]]+Эксперимент[[#This Row],[m+
спирта]])/Эксперимент[[#This Row],[m2
смеси]]</f>
        <v>7.6005085117237983E-2</v>
      </c>
      <c r="R9" s="103">
        <v>10.4704</v>
      </c>
      <c r="S9" s="30">
        <v>18.235700000000001</v>
      </c>
      <c r="T9" s="43">
        <f>Эксперимент[[#This Row],[mП г
смесь    
пик ]]-Эксперимент[[#This Row],[mП г
пик]]</f>
        <v>7.7653000000000016</v>
      </c>
      <c r="U9" s="76">
        <f>Эксперимент[[#This Row],[mП г
смесь     ]]/Плотности_доп[V пик мл]</f>
        <v>1.5530600000000003</v>
      </c>
      <c r="V9" s="72">
        <f>Эксперимент[[#This Row],[w%1 
]]*Эксперимент[[#This Row],[mП г
смесь     ]]/Плотности_доп[M спирт г/моль]*1000</f>
        <v>7.9627939484739354</v>
      </c>
      <c r="W9" s="74">
        <f>(1-Эксперимент[[#This Row],[w%1 
]])*Эксперимент[[#This Row],[mП г
смесь     ]]/Плотности_доп[M ОКМ г/моль]*1000</f>
        <v>17.148895106451036</v>
      </c>
    </row>
    <row r="10" spans="1:23" s="3" customFormat="1" x14ac:dyDescent="0.3">
      <c r="A10" s="23">
        <f t="shared" si="0"/>
        <v>6</v>
      </c>
      <c r="B10" s="20"/>
      <c r="C10" s="36">
        <v>28.312799999999999</v>
      </c>
      <c r="D10" s="30">
        <v>43.315600000000003</v>
      </c>
      <c r="E10" s="21">
        <f>Эксперимент[[#This Row],[m0
смесь    
стакан]]-Эксперимент[[#This Row],[m
стакан]]</f>
        <v>15.002800000000004</v>
      </c>
      <c r="F10" s="44">
        <f>Эксперимент[[#This Row],[m0
смесь]]*(1-Q9)</f>
        <v>13.862510909003106</v>
      </c>
      <c r="G10" s="47">
        <f>Эксперимент[[#This Row],[m0
смесь]]*Q9</f>
        <v>1.1402890909968983</v>
      </c>
      <c r="H10" s="99">
        <f t="shared" si="1"/>
        <v>0.1</v>
      </c>
      <c r="I10" s="21">
        <f>(Эксперимент[[#This Row],[m0
смесь]]*Эксперимент[[#This Row],[w%1 т
спирт ]]-Эксперимент[[#This Row],[m0
спирт]])/(1-Эксперимент[[#This Row],[w%1 т
спирт ]])</f>
        <v>0.39998989889233572</v>
      </c>
      <c r="J10" s="27">
        <f>Эксперимент[[#This Row],[m+ т
спирт]]/Эксперимент_доп[ro 
спирт]*1000</f>
        <v>465.10453359573921</v>
      </c>
      <c r="K10" s="30">
        <v>43.727899999999998</v>
      </c>
      <c r="L10" s="21">
        <f>Эксперимент[[#This Row],[m1 
смесь
стакан]]-Эксперимент[[#This Row],[m
стакан]]</f>
        <v>15.415099999999999</v>
      </c>
      <c r="M10" s="40">
        <f>Эксперимент[[#This Row],[m1 
смесь
стакан]]-Эксперимент[[#This Row],[m0
смесь    
стакан]]</f>
        <v>0.41229999999999478</v>
      </c>
      <c r="N10" s="30">
        <f>Эксперимент[[#This Row],[m1 
смесь
стакан]]</f>
        <v>43.727899999999998</v>
      </c>
      <c r="O10" s="21">
        <f>Эксперимент[[#This Row],[m2
смесь
стакан]]-Эксперимент[[#This Row],[m
стакан]]</f>
        <v>15.415099999999999</v>
      </c>
      <c r="P10" s="22">
        <f>Эксперимент[[#This Row],[m2
смесь
стакан]]-Эксперимент[[#This Row],[m1 
смесь
стакан]]</f>
        <v>0</v>
      </c>
      <c r="Q10" s="50">
        <f>(Эксперимент[[#This Row],[m0
спирт]]+Эксперимент[[#This Row],[m+
спирта]])/Эксперимент[[#This Row],[m2
смеси]]</f>
        <v>0.10071871677750344</v>
      </c>
      <c r="R10" s="103">
        <v>10.4674</v>
      </c>
      <c r="S10" s="30">
        <v>18.164999999999999</v>
      </c>
      <c r="T10" s="43">
        <f>Эксперимент[[#This Row],[mП г
смесь    
пик ]]-Эксперимент[[#This Row],[mП г
пик]]</f>
        <v>7.6975999999999996</v>
      </c>
      <c r="U10" s="76">
        <f>Эксперимент[[#This Row],[mП г
смесь     ]]/Плотности_доп[V пик мл]</f>
        <v>1.53952</v>
      </c>
      <c r="V10" s="72">
        <f>Эксперимент[[#This Row],[w%1 
]]*Эксперимент[[#This Row],[mП г
смесь     ]]/Плотности_доп[M спирт г/моль]*1000</f>
        <v>10.459962146067328</v>
      </c>
      <c r="W10" s="74">
        <f>(1-Эксперимент[[#This Row],[w%1 
]])*Эксперимент[[#This Row],[mП г
смесь     ]]/Плотности_доп[M ОКМ г/моль]*1000</f>
        <v>16.544712250797058</v>
      </c>
    </row>
    <row r="11" spans="1:23" s="3" customFormat="1" x14ac:dyDescent="0.3">
      <c r="A11" s="23">
        <f t="shared" si="0"/>
        <v>7</v>
      </c>
      <c r="B11" s="20"/>
      <c r="C11" s="36">
        <v>28.312799999999999</v>
      </c>
      <c r="D11" s="30">
        <v>43.065800000000003</v>
      </c>
      <c r="E11" s="21">
        <f>Эксперимент[[#This Row],[m0
смесь    
стакан]]-Эксперимент[[#This Row],[m
стакан]]</f>
        <v>14.753000000000004</v>
      </c>
      <c r="F11" s="44">
        <f>Эксперимент[[#This Row],[m0
смесь]]*(1-Q10)</f>
        <v>13.267096771381494</v>
      </c>
      <c r="G11" s="47">
        <f>Эксперимент[[#This Row],[m0
смесь]]*Q10</f>
        <v>1.4859032286185085</v>
      </c>
      <c r="H11" s="99">
        <f t="shared" si="1"/>
        <v>0.125</v>
      </c>
      <c r="I11" s="21">
        <f>(Эксперимент[[#This Row],[m0
смесь]]*Эксперимент[[#This Row],[w%1 т
спирт ]]-Эксперимент[[#This Row],[m0
спирт]])/(1-Эксперимент[[#This Row],[w%1 т
спирт ]])</f>
        <v>0.4093963101502765</v>
      </c>
      <c r="J11" s="27">
        <f>Эксперимент[[#This Row],[m+ т
спирт]]/Эксперимент_доп[ro 
спирт]*1000</f>
        <v>476.04222110497267</v>
      </c>
      <c r="K11" s="30">
        <v>43.441400000000002</v>
      </c>
      <c r="L11" s="21">
        <f>Эксперимент[[#This Row],[m1 
смесь
стакан]]-Эксперимент[[#This Row],[m
стакан]]</f>
        <v>15.128600000000002</v>
      </c>
      <c r="M11" s="40">
        <f>Эксперимент[[#This Row],[m1 
смесь
стакан]]-Эксперимент[[#This Row],[m0
смесь    
стакан]]</f>
        <v>0.3755999999999986</v>
      </c>
      <c r="N11" s="30">
        <f>Эксперимент[[#This Row],[m1 
смесь
стакан]]</f>
        <v>43.441400000000002</v>
      </c>
      <c r="O11" s="21">
        <f>Эксперимент[[#This Row],[m2
смесь
стакан]]-Эксперимент[[#This Row],[m
стакан]]</f>
        <v>15.128600000000002</v>
      </c>
      <c r="P11" s="22">
        <f>Эксперимент[[#This Row],[m2
смесь
стакан]]-Эксперимент[[#This Row],[m1 
смесь
стакан]]</f>
        <v>0</v>
      </c>
      <c r="Q11" s="50">
        <f>(Эксперимент[[#This Row],[m0
спирт]]+Эксперимент[[#This Row],[m+
спирта]])/Эксперимент[[#This Row],[m2
смеси]]</f>
        <v>0.12304530681084216</v>
      </c>
      <c r="R11" s="103">
        <v>10.477600000000001</v>
      </c>
      <c r="S11" s="30">
        <v>18.107500000000002</v>
      </c>
      <c r="T11" s="43">
        <f>Эксперимент[[#This Row],[mП г
смесь    
пик ]]-Эксперимент[[#This Row],[mП г
пик]]</f>
        <v>7.629900000000001</v>
      </c>
      <c r="U11" s="76">
        <f>Эксперимент[[#This Row],[mП г
смесь     ]]/Плотности_доп[V пик мл]</f>
        <v>1.5259800000000001</v>
      </c>
      <c r="V11" s="72">
        <f>Эксперимент[[#This Row],[w%1 
]]*Эксперимент[[#This Row],[mП г
смесь     ]]/Плотности_доп[M спирт г/моль]*1000</f>
        <v>12.666262634053492</v>
      </c>
      <c r="W11" s="74">
        <f>(1-Эксперимент[[#This Row],[w%1 
]])*Эксперимент[[#This Row],[mП г
смесь     ]]/Плотности_доп[M ОКМ г/моль]*1000</f>
        <v>15.992056915783834</v>
      </c>
    </row>
    <row r="12" spans="1:23" s="3" customFormat="1" x14ac:dyDescent="0.3">
      <c r="A12" s="23">
        <f t="shared" si="0"/>
        <v>8</v>
      </c>
      <c r="B12" s="20"/>
      <c r="C12" s="36">
        <v>32.1828</v>
      </c>
      <c r="D12" s="30">
        <v>45.037700000000001</v>
      </c>
      <c r="E12" s="21">
        <f>Эксперимент[[#This Row],[m0
смесь    
стакан]]-Эксперимент[[#This Row],[m
стакан]]</f>
        <v>12.854900000000001</v>
      </c>
      <c r="F12" s="44">
        <f>Эксперимент[[#This Row],[m0
смесь]]*(1-Q11)</f>
        <v>11.273164885477305</v>
      </c>
      <c r="G12" s="47">
        <f>Эксперимент[[#This Row],[m0
смесь]]*Q11</f>
        <v>1.581735114522695</v>
      </c>
      <c r="H12" s="99">
        <f t="shared" si="1"/>
        <v>0.15</v>
      </c>
      <c r="I12" s="21">
        <f>(Эксперимент[[#This Row],[m0
смесь]]*Эксперимент[[#This Row],[w%1 т
спирт ]]-Эксперимент[[#This Row],[m0
спирт]])/(1-Эксперимент[[#This Row],[w%1 т
спирт ]])</f>
        <v>0.40764692409094699</v>
      </c>
      <c r="J12" s="27">
        <f>Эксперимент[[#This Row],[m+ т
спирт]]/Эксперимент_доп[ro 
спирт]*1000</f>
        <v>474.008051268543</v>
      </c>
      <c r="K12" s="30">
        <v>45.432499999999997</v>
      </c>
      <c r="L12" s="21">
        <f>Эксперимент[[#This Row],[m1 
смесь
стакан]]-Эксперимент[[#This Row],[m
стакан]]</f>
        <v>13.249699999999997</v>
      </c>
      <c r="M12" s="40">
        <f>Эксперимент[[#This Row],[m1 
смесь
стакан]]-Эксперимент[[#This Row],[m0
смесь    
стакан]]</f>
        <v>0.39479999999999649</v>
      </c>
      <c r="N12" s="30">
        <f>Эксперимент[[#This Row],[m1 
смесь
стакан]]</f>
        <v>45.432499999999997</v>
      </c>
      <c r="O12" s="21">
        <f>Эксперимент[[#This Row],[m2
смесь
стакан]]-Эксперимент[[#This Row],[m
стакан]]</f>
        <v>13.249699999999997</v>
      </c>
      <c r="P12" s="22">
        <f>Эксперимент[[#This Row],[m2
смесь
стакан]]-Эксперимент[[#This Row],[m1 
смесь
стакан]]</f>
        <v>0</v>
      </c>
      <c r="Q12" s="50">
        <f>(Эксперимент[[#This Row],[m0
спирт]]+Эксперимент[[#This Row],[m+
спирта]])/Эксперимент[[#This Row],[m2
смеси]]</f>
        <v>0.14917583903957765</v>
      </c>
      <c r="R12" s="103">
        <v>10.462999999999999</v>
      </c>
      <c r="S12" s="30">
        <v>18.001100000000001</v>
      </c>
      <c r="T12" s="43">
        <f>Эксперимент[[#This Row],[mП г
смесь    
пик ]]-Эксперимент[[#This Row],[mП г
пик]]</f>
        <v>7.5381000000000018</v>
      </c>
      <c r="U12" s="76">
        <f>Эксперимент[[#This Row],[mП г
смесь     ]]/Плотности_доп[V пик мл]</f>
        <v>1.5076200000000004</v>
      </c>
      <c r="V12" s="72">
        <f>Эксперимент[[#This Row],[w%1 
]]*Эксперимент[[#This Row],[mП г
смесь     ]]/Плотности_доп[M спирт г/моль]*1000</f>
        <v>15.171376042420945</v>
      </c>
      <c r="W12" s="74">
        <f>(1-Эксперимент[[#This Row],[w%1 
]])*Эксперимент[[#This Row],[mП г
смесь     ]]/Плотности_доп[M ОКМ г/моль]*1000</f>
        <v>15.328866175276676</v>
      </c>
    </row>
    <row r="13" spans="1:23" s="3" customFormat="1" x14ac:dyDescent="0.3">
      <c r="A13" s="23">
        <f t="shared" si="0"/>
        <v>9</v>
      </c>
      <c r="B13" s="20"/>
      <c r="C13" s="36">
        <v>32.1828</v>
      </c>
      <c r="D13" s="30">
        <v>44.400799999999997</v>
      </c>
      <c r="E13" s="21">
        <f>Эксперимент[[#This Row],[m0
смесь    
стакан]]-Эксперимент[[#This Row],[m
стакан]]</f>
        <v>12.217999999999996</v>
      </c>
      <c r="F13" s="44">
        <f>Эксперимент[[#This Row],[m0
смесь]]*(1-Q12)</f>
        <v>10.395369598614437</v>
      </c>
      <c r="G13" s="47">
        <f>Эксперимент[[#This Row],[m0
смесь]]*Q12</f>
        <v>1.8226304013855592</v>
      </c>
      <c r="H13" s="99">
        <f t="shared" si="1"/>
        <v>0.17499999999999999</v>
      </c>
      <c r="I13" s="21">
        <f>(Эксперимент[[#This Row],[m0
смесь]]*Эксперимент[[#This Row],[w%1 т
спирт ]]-Эксперимент[[#This Row],[m0
спирт]])/(1-Эксперимент[[#This Row],[w%1 т
спирт ]])</f>
        <v>0.38244799832053322</v>
      </c>
      <c r="J13" s="27">
        <f>Эксперимент[[#This Row],[m+ т
спирт]]/Эксперимент_доп[ro 
спирт]*1000</f>
        <v>444.70697479131769</v>
      </c>
      <c r="K13" s="30">
        <v>44.781999999999996</v>
      </c>
      <c r="L13" s="21">
        <f>Эксперимент[[#This Row],[m1 
смесь
стакан]]-Эксперимент[[#This Row],[m
стакан]]</f>
        <v>12.599199999999996</v>
      </c>
      <c r="M13" s="40">
        <f>Эксперимент[[#This Row],[m1 
смесь
стакан]]-Эксперимент[[#This Row],[m0
смесь    
стакан]]</f>
        <v>0.38119999999999976</v>
      </c>
      <c r="N13" s="30">
        <f>Эксперимент[[#This Row],[m1 
смесь
стакан]]</f>
        <v>44.781999999999996</v>
      </c>
      <c r="O13" s="21">
        <f>Эксперимент[[#This Row],[m2
смесь
стакан]]-Эксперимент[[#This Row],[m
стакан]]</f>
        <v>12.599199999999996</v>
      </c>
      <c r="P13" s="22">
        <f>Эксперимент[[#This Row],[m2
смесь
стакан]]-Эксперимент[[#This Row],[m1 
смесь
стакан]]</f>
        <v>0</v>
      </c>
      <c r="Q13" s="50">
        <f>(Эксперимент[[#This Row],[m0
спирт]]+Эксперимент[[#This Row],[m+
спирта]])/Эксперимент[[#This Row],[m2
смеси]]</f>
        <v>0.17491828063571971</v>
      </c>
      <c r="R13" s="103">
        <v>10.466799999999999</v>
      </c>
      <c r="S13" s="30">
        <v>17.931999999999999</v>
      </c>
      <c r="T13" s="43">
        <f>Эксперимент[[#This Row],[mП г
смесь    
пик ]]-Эксперимент[[#This Row],[mП г
пик]]</f>
        <v>7.4651999999999994</v>
      </c>
      <c r="U13" s="76">
        <f>Эксперимент[[#This Row],[mП г
смесь     ]]/Плотности_доп[V пик мл]</f>
        <v>1.4930399999999999</v>
      </c>
      <c r="V13" s="72">
        <f>Эксперимент[[#This Row],[w%1 
]]*Эксперимент[[#This Row],[mП г
смесь     ]]/Плотности_доп[M спирт г/моль]*1000</f>
        <v>17.617376532673699</v>
      </c>
      <c r="W13" s="74">
        <f>(1-Эксперимент[[#This Row],[w%1 
]])*Эксперимент[[#This Row],[mП г
смесь     ]]/Плотности_доп[M ОКМ г/моль]*1000</f>
        <v>14.721319434508187</v>
      </c>
    </row>
    <row r="14" spans="1:23" s="3" customFormat="1" ht="15" thickBot="1" x14ac:dyDescent="0.35">
      <c r="A14" s="23">
        <f>A13+1</f>
        <v>10</v>
      </c>
      <c r="B14" s="20"/>
      <c r="C14" s="37">
        <v>21.125800000000002</v>
      </c>
      <c r="D14" s="32">
        <v>31.729299999999999</v>
      </c>
      <c r="E14" s="21">
        <f>Эксперимент[[#This Row],[m0
смесь    
стакан]]-Эксперимент[[#This Row],[m
стакан]]</f>
        <v>10.603499999999997</v>
      </c>
      <c r="F14" s="45">
        <f>Эксперимент[[#This Row],[m0
смесь]]*(1-Q13)</f>
        <v>8.7487540112791429</v>
      </c>
      <c r="G14" s="47">
        <f>Эксперимент[[#This Row],[m0
смесь]]*Q13</f>
        <v>1.8547459887208533</v>
      </c>
      <c r="H14" s="100">
        <f>H13+0.025</f>
        <v>0.19999999999999998</v>
      </c>
      <c r="I14" s="21">
        <f>(Эксперимент[[#This Row],[m0
смесь]]*Эксперимент[[#This Row],[w%1 т
спирт ]]-Эксперимент[[#This Row],[m0
спирт]])/(1-Эксперимент[[#This Row],[w%1 т
спирт ]])</f>
        <v>0.33244251409893261</v>
      </c>
      <c r="J14" s="28">
        <f>Эксперимент[[#This Row],[m+ т
спирт]]/Эксперимент_доп[ro 
спирт]*1000</f>
        <v>386.56106290573558</v>
      </c>
      <c r="K14" s="32">
        <v>32.061</v>
      </c>
      <c r="L14" s="21">
        <f>Эксперимент[[#This Row],[m1 
смесь
стакан]]-Эксперимент[[#This Row],[m
стакан]]</f>
        <v>10.935199999999998</v>
      </c>
      <c r="M14" s="40">
        <f>Эксперимент[[#This Row],[m1 
смесь
стакан]]-Эксперимент[[#This Row],[m0
смесь    
стакан]]</f>
        <v>0.33170000000000144</v>
      </c>
      <c r="N14" s="32">
        <f>Эксперимент[[#This Row],[m1 
смесь
стакан]]</f>
        <v>32.061</v>
      </c>
      <c r="O14" s="21">
        <f>Эксперимент[[#This Row],[m2
смесь
стакан]]-Эксперимент[[#This Row],[m
стакан]]</f>
        <v>10.935199999999998</v>
      </c>
      <c r="P14" s="22">
        <f>Эксперимент[[#This Row],[m2
смесь
стакан]]-Эксперимент[[#This Row],[m1 
смесь
стакан]]</f>
        <v>0</v>
      </c>
      <c r="Q14" s="51">
        <f>(Эксперимент[[#This Row],[m0
спирт]]+Эксперимент[[#This Row],[m+
спирта]])/Эксперимент[[#This Row],[m2
смеси]]</f>
        <v>0.19994567897439963</v>
      </c>
      <c r="R14" s="104">
        <v>10.4658</v>
      </c>
      <c r="S14" s="32">
        <v>17.8934</v>
      </c>
      <c r="T14" s="43">
        <f>Эксперимент[[#This Row],[mП г
смесь    
пик ]]-Эксперимент[[#This Row],[mП г
пик]]</f>
        <v>7.4276</v>
      </c>
      <c r="U14" s="76">
        <f>Эксперимент[[#This Row],[mП г
смесь     ]]/Плотности_доп[V пик мл]</f>
        <v>1.48552</v>
      </c>
      <c r="V14" s="73">
        <f>Эксперимент[[#This Row],[w%1 
]]*Эксперимент[[#This Row],[mП г
смесь     ]]/Плотности_доп[M спирт г/моль]*1000</f>
        <v>20.036650366301277</v>
      </c>
      <c r="W14" s="74">
        <f>(1-Эксперимент[[#This Row],[w%1 
]])*Эксперимент[[#This Row],[mП г
смесь     ]]/Плотности_доп[M ОКМ г/моль]*1000</f>
        <v>14.202876373923877</v>
      </c>
    </row>
    <row r="15" spans="1:23" s="3" customFormat="1" x14ac:dyDescent="0.3"/>
    <row r="16" spans="1:23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  <row r="139" s="3" customFormat="1" x14ac:dyDescent="0.3"/>
    <row r="140" s="3" customFormat="1" x14ac:dyDescent="0.3"/>
    <row r="141" s="3" customFormat="1" x14ac:dyDescent="0.3"/>
    <row r="142" s="3" customFormat="1" x14ac:dyDescent="0.3"/>
    <row r="143" s="3" customFormat="1" x14ac:dyDescent="0.3"/>
    <row r="144" s="3" customFormat="1" x14ac:dyDescent="0.3"/>
  </sheetData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1F6C-8907-428C-A30A-EC60ECD9AC26}">
  <sheetPr>
    <tabColor theme="8" tint="-0.249977111117893"/>
  </sheetPr>
  <dimension ref="A1:K25"/>
  <sheetViews>
    <sheetView zoomScale="160" zoomScaleNormal="160" workbookViewId="0">
      <selection activeCell="F7" sqref="F7"/>
    </sheetView>
  </sheetViews>
  <sheetFormatPr defaultRowHeight="14.4" x14ac:dyDescent="0.3"/>
  <cols>
    <col min="1" max="1" width="3.21875" customWidth="1"/>
    <col min="2" max="2" width="7.88671875" customWidth="1"/>
    <col min="3" max="3" width="6.44140625" customWidth="1"/>
    <col min="4" max="4" width="9.33203125" customWidth="1"/>
    <col min="5" max="5" width="12.5546875" bestFit="1" customWidth="1"/>
  </cols>
  <sheetData>
    <row r="1" spans="1:11" x14ac:dyDescent="0.3">
      <c r="E1" t="s">
        <v>59</v>
      </c>
      <c r="I1">
        <v>-2555.6999999999998</v>
      </c>
      <c r="J1">
        <f>-I1*8.314/1000</f>
        <v>21.248089799999999</v>
      </c>
      <c r="K1" t="s">
        <v>46</v>
      </c>
    </row>
    <row r="2" spans="1:11" x14ac:dyDescent="0.3">
      <c r="E2" s="106">
        <f>1.380649*10^(-23)</f>
        <v>1.3806490000000001E-23</v>
      </c>
      <c r="I2">
        <v>-32.387999999999998</v>
      </c>
      <c r="J2" s="4">
        <f>EXP(I2)</f>
        <v>8.5915262256455344E-15</v>
      </c>
      <c r="K2" t="s">
        <v>62</v>
      </c>
    </row>
    <row r="4" spans="1:11" ht="30.6" x14ac:dyDescent="0.3">
      <c r="A4" s="89" t="s">
        <v>49</v>
      </c>
      <c r="B4" s="89" t="s">
        <v>60</v>
      </c>
      <c r="C4" s="87" t="s">
        <v>61</v>
      </c>
      <c r="D4" s="88" t="s">
        <v>47</v>
      </c>
      <c r="E4" s="90" t="s">
        <v>48</v>
      </c>
      <c r="F4" s="90" t="s">
        <v>57</v>
      </c>
      <c r="G4" s="84" t="s">
        <v>50</v>
      </c>
    </row>
    <row r="5" spans="1:11" hidden="1" x14ac:dyDescent="0.3">
      <c r="A5" s="91">
        <v>-20</v>
      </c>
      <c r="B5" s="91">
        <f>Таблица11[[#This Row],[t
C]]+273.15</f>
        <v>253.14999999999998</v>
      </c>
      <c r="C5" s="92">
        <v>841</v>
      </c>
      <c r="D5" s="92">
        <v>9982</v>
      </c>
      <c r="E5" s="86">
        <f>1/Таблица11[[#This Row],[T 
K]]</f>
        <v>3.9502271380604387E-3</v>
      </c>
      <c r="F5" s="85">
        <f>$E$2*Таблица11[[#This Row],[T 
K]]/Таблица11[[#This Row],[nu *106 Па с]]*10^6</f>
        <v>3.501415491384492E-19</v>
      </c>
      <c r="G5" s="93">
        <f>LN(Таблица11[[#This Row],[D 
м2с]])</f>
        <v>-42.495949454039838</v>
      </c>
    </row>
    <row r="6" spans="1:11" hidden="1" x14ac:dyDescent="0.3">
      <c r="A6" s="92">
        <v>-10</v>
      </c>
      <c r="B6" s="92">
        <f>Таблица11[[#This Row],[t
C]]+273.15</f>
        <v>263.14999999999998</v>
      </c>
      <c r="C6" s="92">
        <v>833</v>
      </c>
      <c r="D6" s="92">
        <v>7021</v>
      </c>
      <c r="E6" s="86">
        <f>1/Таблица11[[#This Row],[T 
K]]</f>
        <v>3.800114003420103E-3</v>
      </c>
      <c r="F6" s="85">
        <f>$E$2*Таблица11[[#This Row],[T 
K]]/Таблица11[[#This Row],[nu *106 Па с]]*10^6</f>
        <v>5.1747298725252819E-19</v>
      </c>
      <c r="G6" s="93">
        <f>LN(Таблица11[[#This Row],[D 
м2с]])</f>
        <v>-42.105329627643663</v>
      </c>
    </row>
    <row r="7" spans="1:11" x14ac:dyDescent="0.3">
      <c r="A7" s="92">
        <v>0</v>
      </c>
      <c r="B7" s="92">
        <f>Таблица11[[#This Row],[t
C]]+273.15</f>
        <v>273.14999999999998</v>
      </c>
      <c r="C7" s="92">
        <v>826</v>
      </c>
      <c r="D7" s="92">
        <v>5087</v>
      </c>
      <c r="E7" s="86">
        <f>1/Таблица11[[#This Row],[T 
K]]</f>
        <v>3.6609921288669233E-3</v>
      </c>
      <c r="F7" s="85">
        <f>$E$2*Таблица11[[#This Row],[T 
K]]/Таблица11[[#This Row],[nu *106 Па с]]*10^6</f>
        <v>7.4134907479850587E-19</v>
      </c>
      <c r="G7" s="93">
        <f>LN(Таблица11[[#This Row],[D 
м2с]])</f>
        <v>-41.745815352407242</v>
      </c>
    </row>
    <row r="8" spans="1:11" x14ac:dyDescent="0.3">
      <c r="A8" s="92">
        <v>10</v>
      </c>
      <c r="B8" s="92">
        <f>Таблица11[[#This Row],[t
C]]+273.15</f>
        <v>283.14999999999998</v>
      </c>
      <c r="C8" s="92">
        <v>818</v>
      </c>
      <c r="D8" s="92">
        <v>3783</v>
      </c>
      <c r="E8" s="86">
        <f>1/Таблица11[[#This Row],[T 
K]]</f>
        <v>3.5316969803990822E-3</v>
      </c>
      <c r="F8" s="85">
        <f>$E$2*Таблица11[[#This Row],[T 
K]]/Таблица11[[#This Row],[nu *106 Па с]]*10^6</f>
        <v>1.033388221913825E-18</v>
      </c>
      <c r="G8" s="93">
        <f>LN(Таблица11[[#This Row],[D 
м2с]])</f>
        <v>-41.413688734499424</v>
      </c>
    </row>
    <row r="9" spans="1:11" x14ac:dyDescent="0.3">
      <c r="A9" s="92">
        <v>20</v>
      </c>
      <c r="B9" s="92">
        <f>Таблица11[[#This Row],[t
C]]+273.15</f>
        <v>293.14999999999998</v>
      </c>
      <c r="C9" s="92">
        <v>810</v>
      </c>
      <c r="D9" s="92">
        <v>2878</v>
      </c>
      <c r="E9" s="86">
        <f>1/Таблица11[[#This Row],[T 
K]]</f>
        <v>3.4112229234180458E-3</v>
      </c>
      <c r="F9" s="85">
        <f>$E$2*Таблица11[[#This Row],[T 
K]]/Таблица11[[#This Row],[nu *106 Па с]]*10^6</f>
        <v>1.4063142958651842E-18</v>
      </c>
      <c r="G9" s="93">
        <f>LN(Таблица11[[#This Row],[D 
м2с]])</f>
        <v>-41.105559366463297</v>
      </c>
    </row>
    <row r="10" spans="1:11" x14ac:dyDescent="0.3">
      <c r="A10" s="92">
        <v>30</v>
      </c>
      <c r="B10" s="92">
        <f>Таблица11[[#This Row],[t
C]]+273.15</f>
        <v>303.14999999999998</v>
      </c>
      <c r="C10" s="92">
        <v>802</v>
      </c>
      <c r="D10" s="92">
        <v>2234</v>
      </c>
      <c r="E10" s="86">
        <f>1/Таблица11[[#This Row],[T 
K]]</f>
        <v>3.298697014679202E-3</v>
      </c>
      <c r="F10" s="85">
        <f>$E$2*Таблица11[[#This Row],[T 
K]]/Таблица11[[#This Row],[nu *106 Па с]]*10^6</f>
        <v>1.8735172083706357E-18</v>
      </c>
      <c r="G10" s="93">
        <f>LN(Таблица11[[#This Row],[D 
м2с]])</f>
        <v>-40.818714149537612</v>
      </c>
    </row>
    <row r="11" spans="1:11" x14ac:dyDescent="0.3">
      <c r="A11" s="92">
        <v>40</v>
      </c>
      <c r="B11" s="92">
        <f>Таблица11[[#This Row],[t
C]]+273.15</f>
        <v>313.14999999999998</v>
      </c>
      <c r="C11" s="92">
        <v>793</v>
      </c>
      <c r="D11" s="92">
        <v>1764</v>
      </c>
      <c r="E11" s="86">
        <f>1/Таблица11[[#This Row],[T 
K]]</f>
        <v>3.1933578157432542E-3</v>
      </c>
      <c r="F11" s="85">
        <f>$E$2*Таблица11[[#This Row],[T 
K]]/Таблица11[[#This Row],[nu *106 Па с]]*10^6</f>
        <v>2.450965047335601E-18</v>
      </c>
      <c r="G11" s="93">
        <f>LN(Таблица11[[#This Row],[D 
м2с]])</f>
        <v>-40.550049830021521</v>
      </c>
    </row>
    <row r="12" spans="1:11" x14ac:dyDescent="0.3">
      <c r="A12" s="92">
        <v>50</v>
      </c>
      <c r="B12" s="92">
        <f>Таблица11[[#This Row],[t
C]]+273.15</f>
        <v>323.14999999999998</v>
      </c>
      <c r="C12" s="92">
        <v>785</v>
      </c>
      <c r="D12" s="92">
        <v>1414</v>
      </c>
      <c r="E12" s="86">
        <f>1/Таблица11[[#This Row],[T 
K]]</f>
        <v>3.0945381401825778E-3</v>
      </c>
      <c r="F12" s="85">
        <f>$E$2*Таблица11[[#This Row],[T 
K]]/Таблица11[[#This Row],[nu *106 Па с]]*10^6</f>
        <v>3.1552809359971715E-18</v>
      </c>
      <c r="G12" s="93">
        <f>LN(Таблица11[[#This Row],[D 
м2с]])</f>
        <v>-40.297454137173816</v>
      </c>
    </row>
    <row r="13" spans="1:11" hidden="1" x14ac:dyDescent="0.3">
      <c r="A13" s="92">
        <v>60</v>
      </c>
      <c r="B13" s="92">
        <f>Таблица11[[#This Row],[t
C]]+273.15</f>
        <v>333.15</v>
      </c>
      <c r="C13" s="92">
        <v>776</v>
      </c>
      <c r="D13" s="92">
        <v>1148</v>
      </c>
      <c r="E13" s="86">
        <f>1/Таблица11[[#This Row],[T 
K]]</f>
        <v>3.0016509079993999E-3</v>
      </c>
      <c r="F13" s="85">
        <f>$E$2*Таблица11[[#This Row],[T 
K]]/Таблица11[[#This Row],[nu *106 Па с]]*10^6</f>
        <v>4.0066482086236938E-18</v>
      </c>
      <c r="G13" s="93">
        <f>LN(Таблица11[[#This Row],[D 
м2с]])</f>
        <v>-40.058576640297169</v>
      </c>
    </row>
    <row r="14" spans="1:11" hidden="1" x14ac:dyDescent="0.3">
      <c r="A14" s="92">
        <v>70</v>
      </c>
      <c r="B14" s="92">
        <f>Таблица11[[#This Row],[t
C]]+273.15</f>
        <v>343.15</v>
      </c>
      <c r="C14" s="92">
        <v>767</v>
      </c>
      <c r="D14" s="92">
        <v>941</v>
      </c>
      <c r="E14" s="86">
        <f>1/Таблица11[[#This Row],[T 
K]]</f>
        <v>2.9141774734081308E-3</v>
      </c>
      <c r="F14" s="85">
        <f>$E$2*Таблица11[[#This Row],[T 
K]]/Таблица11[[#This Row],[nu *106 Па с]]*10^6</f>
        <v>5.0347471238044638E-18</v>
      </c>
      <c r="G14" s="93">
        <f>LN(Таблица11[[#This Row],[D 
м2с]])</f>
        <v>-39.830168372656942</v>
      </c>
    </row>
    <row r="15" spans="1:11" hidden="1" x14ac:dyDescent="0.3">
      <c r="A15" s="92">
        <v>80</v>
      </c>
      <c r="B15" s="92">
        <f>Таблица11[[#This Row],[t
C]]+273.15</f>
        <v>353.15</v>
      </c>
      <c r="C15" s="92">
        <v>758</v>
      </c>
      <c r="D15" s="92">
        <v>778</v>
      </c>
      <c r="E15" s="86">
        <f>1/Таблица11[[#This Row],[T 
K]]</f>
        <v>2.831657935721365E-3</v>
      </c>
      <c r="F15" s="85">
        <f>$E$2*Таблица11[[#This Row],[T 
K]]/Таблица11[[#This Row],[nu *106 Па с]]*10^6</f>
        <v>6.2670461998714655E-18</v>
      </c>
      <c r="G15" s="93">
        <f>LN(Таблица11[[#This Row],[D 
м2с]])</f>
        <v>-39.611226530749668</v>
      </c>
    </row>
    <row r="16" spans="1:11" hidden="1" x14ac:dyDescent="0.3">
      <c r="A16" s="92">
        <v>90</v>
      </c>
      <c r="B16" s="92">
        <f>Таблица11[[#This Row],[t
C]]+273.15</f>
        <v>363.15</v>
      </c>
      <c r="C16" s="92">
        <v>749</v>
      </c>
      <c r="D16" s="92">
        <v>646</v>
      </c>
      <c r="E16" s="86">
        <f>1/Таблица11[[#This Row],[T 
K]]</f>
        <v>2.7536830510808208E-3</v>
      </c>
      <c r="F16" s="85">
        <f>$E$2*Таблица11[[#This Row],[T 
K]]/Таблица11[[#This Row],[nu *106 Па с]]*10^6</f>
        <v>7.7613418630030964E-18</v>
      </c>
      <c r="G16" s="93">
        <f>LN(Таблица11[[#This Row],[D 
м2с]])</f>
        <v>-39.397376434156627</v>
      </c>
    </row>
    <row r="17" spans="1:7" hidden="1" x14ac:dyDescent="0.3">
      <c r="A17" s="92">
        <v>100</v>
      </c>
      <c r="B17" s="92">
        <f>Таблица11[[#This Row],[t
C]]+273.15</f>
        <v>373.15</v>
      </c>
      <c r="C17" s="92">
        <v>739</v>
      </c>
      <c r="D17" s="92">
        <v>538</v>
      </c>
      <c r="E17" s="86">
        <f>1/Таблица11[[#This Row],[T 
K]]</f>
        <v>2.6798874447273215E-3</v>
      </c>
      <c r="F17" s="85">
        <f>$E$2*Таблица11[[#This Row],[T 
K]]/Таблица11[[#This Row],[nu *106 Па с]]*10^6</f>
        <v>9.5760069581784391E-18</v>
      </c>
      <c r="G17" s="93">
        <f>LN(Таблица11[[#This Row],[D 
м2с]])</f>
        <v>-39.187270979010592</v>
      </c>
    </row>
    <row r="18" spans="1:7" hidden="1" x14ac:dyDescent="0.3">
      <c r="A18" s="92">
        <v>110</v>
      </c>
      <c r="B18" s="92">
        <f>Таблица11[[#This Row],[t
C]]+273.15</f>
        <v>383.15</v>
      </c>
      <c r="C18" s="92">
        <v>730</v>
      </c>
      <c r="D18" s="92">
        <v>448</v>
      </c>
      <c r="E18" s="86">
        <f>1/Таблица11[[#This Row],[T 
K]]</f>
        <v>2.6099438862064468E-3</v>
      </c>
      <c r="F18" s="85">
        <f>$E$2*Таблица11[[#This Row],[T 
K]]/Таблица11[[#This Row],[nu *106 Па с]]*10^6</f>
        <v>1.180793893638393E-17</v>
      </c>
      <c r="G18" s="93">
        <f>LN(Таблица11[[#This Row],[D 
м2с]])</f>
        <v>-38.977759577424777</v>
      </c>
    </row>
    <row r="19" spans="1:7" hidden="1" x14ac:dyDescent="0.3">
      <c r="A19" s="92">
        <v>120</v>
      </c>
      <c r="B19" s="92">
        <f>Таблица11[[#This Row],[t
C]]+273.15</f>
        <v>393.15</v>
      </c>
      <c r="C19" s="92">
        <v>720</v>
      </c>
      <c r="D19" s="92">
        <v>448</v>
      </c>
      <c r="E19" s="86">
        <f>1/Таблица11[[#This Row],[T 
K]]</f>
        <v>2.5435584382551188E-3</v>
      </c>
      <c r="F19" s="85">
        <f>$E$2*Таблица11[[#This Row],[T 
K]]/Таблица11[[#This Row],[nu *106 Па с]]*10^6</f>
        <v>1.2116119516741072E-17</v>
      </c>
      <c r="G19" s="93">
        <f>LN(Таблица11[[#This Row],[D 
м2с]])</f>
        <v>-38.951994916403663</v>
      </c>
    </row>
    <row r="20" spans="1:7" hidden="1" x14ac:dyDescent="0.3">
      <c r="A20" s="92">
        <v>130</v>
      </c>
      <c r="B20" s="92">
        <f>Таблица11[[#This Row],[t
C]]+273.15</f>
        <v>403.15</v>
      </c>
      <c r="C20" s="92">
        <v>709</v>
      </c>
      <c r="D20" s="92">
        <v>448</v>
      </c>
      <c r="E20" s="86">
        <f>1/Таблица11[[#This Row],[T 
K]]</f>
        <v>2.4804663276696021E-3</v>
      </c>
      <c r="F20" s="85">
        <f>$E$2*Таблица11[[#This Row],[T 
K]]/Таблица11[[#This Row],[nu *106 Па с]]*10^6</f>
        <v>1.2424300097098214E-17</v>
      </c>
      <c r="G20" s="93">
        <f>LN(Таблица11[[#This Row],[D 
м2с]])</f>
        <v>-38.92687743371016</v>
      </c>
    </row>
    <row r="21" spans="1:7" hidden="1" x14ac:dyDescent="0.3">
      <c r="A21" s="92">
        <v>140</v>
      </c>
      <c r="B21" s="92">
        <f>Таблица11[[#This Row],[t
C]]+273.15</f>
        <v>413.15</v>
      </c>
      <c r="C21" s="92">
        <v>699</v>
      </c>
      <c r="D21" s="92">
        <v>448</v>
      </c>
      <c r="E21" s="86">
        <f>1/Таблица11[[#This Row],[T 
K]]</f>
        <v>2.4204284158296022E-3</v>
      </c>
      <c r="F21" s="85">
        <f>$E$2*Таблица11[[#This Row],[T 
K]]/Таблица11[[#This Row],[nu *106 Па с]]*10^6</f>
        <v>1.2732480677455358E-17</v>
      </c>
      <c r="G21" s="93">
        <f>LN(Таблица11[[#This Row],[D 
м2с]])</f>
        <v>-38.902375411693995</v>
      </c>
    </row>
    <row r="22" spans="1:7" hidden="1" x14ac:dyDescent="0.3">
      <c r="A22" s="92">
        <v>150</v>
      </c>
      <c r="B22" s="92">
        <f>Таблица11[[#This Row],[t
C]]+273.15</f>
        <v>423.15</v>
      </c>
      <c r="C22" s="92">
        <v>687</v>
      </c>
      <c r="D22" s="92">
        <v>200</v>
      </c>
      <c r="E22" s="86">
        <f>1/Таблица11[[#This Row],[T 
K]]</f>
        <v>2.3632281696797826E-3</v>
      </c>
      <c r="F22" s="85">
        <f>$E$2*Таблица11[[#This Row],[T 
K]]/Таблица11[[#This Row],[nu *106 Па с]]*10^6</f>
        <v>2.9211081217499997E-17</v>
      </c>
      <c r="G22" s="93">
        <f>LN(Таблица11[[#This Row],[D 
м2с]])</f>
        <v>-38.071983542858128</v>
      </c>
    </row>
    <row r="23" spans="1:7" hidden="1" x14ac:dyDescent="0.3">
      <c r="A23" s="92">
        <v>160</v>
      </c>
      <c r="B23" s="92">
        <f>Таблица11[[#This Row],[t
C]]+273.15</f>
        <v>433.15</v>
      </c>
      <c r="C23" s="92">
        <v>676</v>
      </c>
      <c r="D23" s="92">
        <v>157</v>
      </c>
      <c r="E23" s="86">
        <f>1/Таблица11[[#This Row],[T 
K]]</f>
        <v>2.3086690522913541E-3</v>
      </c>
      <c r="F23" s="85">
        <f>$E$2*Таблица11[[#This Row],[T 
K]]/Таблица11[[#This Row],[nu *106 Па с]]*10^6</f>
        <v>3.8090962697452229E-17</v>
      </c>
      <c r="G23" s="93">
        <f>LN(Таблица11[[#This Row],[D 
м2с]])</f>
        <v>-37.806554619438366</v>
      </c>
    </row>
    <row r="24" spans="1:7" hidden="1" x14ac:dyDescent="0.3">
      <c r="A24" s="92">
        <v>180</v>
      </c>
      <c r="B24" s="92">
        <f>Таблица11[[#This Row],[t
C]]+273.15</f>
        <v>453.15</v>
      </c>
      <c r="C24" s="92">
        <v>651</v>
      </c>
      <c r="D24" s="92">
        <v>88.6</v>
      </c>
      <c r="E24" s="86">
        <f>1/Таблица11[[#This Row],[T 
K]]</f>
        <v>2.2067747986317999E-3</v>
      </c>
      <c r="F24" s="85">
        <f>$E$2*Таблица11[[#This Row],[T 
K]]/Таблица11[[#This Row],[nu *106 Па с]]*10^6</f>
        <v>7.0614119001128668E-17</v>
      </c>
      <c r="G24" s="93">
        <f>LN(Таблица11[[#This Row],[D 
м2с]])</f>
        <v>-37.189301563536446</v>
      </c>
    </row>
    <row r="25" spans="1:7" hidden="1" x14ac:dyDescent="0.3">
      <c r="A25" s="92">
        <v>200</v>
      </c>
      <c r="B25" s="92">
        <f>Таблица11[[#This Row],[t
C]]+273.15</f>
        <v>473.15</v>
      </c>
      <c r="C25" s="92">
        <v>624</v>
      </c>
      <c r="D25" s="92">
        <v>42</v>
      </c>
      <c r="E25" s="86">
        <f>1/Таблица11[[#This Row],[T 
K]]</f>
        <v>2.1134946634259748E-3</v>
      </c>
      <c r="F25" s="85">
        <f>$E$2*Таблица11[[#This Row],[T 
K]]/Таблица11[[#This Row],[nu *106 Па с]]*10^6</f>
        <v>1.5553668436904762E-16</v>
      </c>
      <c r="G25" s="93">
        <f>LN(Таблица11[[#This Row],[D 
м2с]])</f>
        <v>-36.399650057755331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Результаты</vt:lpstr>
      <vt:lpstr>Эксперимент</vt:lpstr>
      <vt:lpstr>Спирт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2023-11-28T14:27:18Z</dcterms:modified>
</cp:coreProperties>
</file>