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Бабах\"/>
    </mc:Choice>
  </mc:AlternateContent>
  <bookViews>
    <workbookView xWindow="30" yWindow="30" windowWidth="21270" windowHeight="9795"/>
  </bookViews>
  <sheets>
    <sheet name="fi-coeff" sheetId="1" r:id="rId1"/>
    <sheet name="Лист2" sheetId="2" r:id="rId2"/>
    <sheet name="Лист3" sheetId="3" r:id="rId3"/>
  </sheets>
  <definedNames>
    <definedName name="solver_adj" localSheetId="0" hidden="1">'fi-coeff'!$AC$2:$AC$6</definedName>
    <definedName name="solver_cvg" localSheetId="0" hidden="1">0.001</definedName>
    <definedName name="solver_drv" localSheetId="0" hidden="1">0</definedName>
    <definedName name="solver_est" localSheetId="0" hidden="1">0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'fi-coeff'!$AD$10</definedName>
    <definedName name="solver_pre" localSheetId="0" hidden="1">0.000000001</definedName>
    <definedName name="solver_scl" localSheetId="0" hidden="1">1</definedName>
    <definedName name="solver_sho" localSheetId="0" hidden="1">2</definedName>
    <definedName name="solver_tim" localSheetId="0" hidden="1">100</definedName>
    <definedName name="solver_tol" localSheetId="0" hidden="1">0.005</definedName>
    <definedName name="solver_typ" localSheetId="0" hidden="1">2</definedName>
    <definedName name="solver_val" localSheetId="0" hidden="1">0</definedName>
    <definedName name="_xlnm.Print_Area" localSheetId="0">'fi-coeff'!$P$32:$X$108</definedName>
  </definedNames>
  <calcPr calcId="152511"/>
</workbook>
</file>

<file path=xl/calcChain.xml><?xml version="1.0" encoding="utf-8"?>
<calcChain xmlns="http://schemas.openxmlformats.org/spreadsheetml/2006/main">
  <c r="D10" i="2" l="1"/>
  <c r="A28" i="1" l="1"/>
  <c r="E27" i="1"/>
  <c r="E28" i="1" s="1"/>
  <c r="C26" i="1"/>
  <c r="C27" i="1"/>
  <c r="C245" i="1"/>
  <c r="AJ32" i="1"/>
  <c r="AJ33" i="1" s="1"/>
  <c r="AJ34" i="1" s="1"/>
  <c r="F58" i="1"/>
  <c r="AO37" i="1"/>
  <c r="AO38" i="1" s="1"/>
  <c r="AM38" i="1" s="1"/>
  <c r="AL38" i="1"/>
  <c r="AP38" i="1"/>
  <c r="J58" i="1"/>
  <c r="I58" i="1"/>
  <c r="A59" i="1"/>
  <c r="H58" i="1"/>
  <c r="E58" i="1"/>
  <c r="C57" i="1"/>
  <c r="AN37" i="1"/>
  <c r="AN38" i="1"/>
  <c r="AK38" i="1"/>
  <c r="AP33" i="1"/>
  <c r="AO33" i="1"/>
  <c r="AN33" i="1"/>
  <c r="AL33" i="1"/>
  <c r="AK33" i="1"/>
  <c r="AG39" i="1"/>
  <c r="AI37" i="1"/>
  <c r="AI38" i="1" s="1"/>
  <c r="AG48" i="1"/>
  <c r="AP47" i="1"/>
  <c r="AO47" i="1"/>
  <c r="AN47" i="1"/>
  <c r="AK47" i="1"/>
  <c r="AL47" i="1"/>
  <c r="AK48" i="1" s="1"/>
  <c r="AI46" i="1"/>
  <c r="AI47" i="1"/>
  <c r="AG34" i="1"/>
  <c r="AI32" i="1"/>
  <c r="AI33" i="1" s="1"/>
  <c r="N120" i="1"/>
  <c r="Q120" i="1"/>
  <c r="Q27" i="1"/>
  <c r="T13" i="1" s="1"/>
  <c r="R125" i="1"/>
  <c r="S125" i="1"/>
  <c r="T125" i="1"/>
  <c r="U125" i="1"/>
  <c r="V125" i="1"/>
  <c r="W125" i="1"/>
  <c r="X125" i="1"/>
  <c r="R124" i="1"/>
  <c r="S124" i="1"/>
  <c r="T124" i="1"/>
  <c r="U124" i="1"/>
  <c r="V124" i="1"/>
  <c r="W124" i="1"/>
  <c r="X124" i="1"/>
  <c r="R123" i="1"/>
  <c r="S123" i="1"/>
  <c r="T123" i="1"/>
  <c r="U123" i="1"/>
  <c r="V123" i="1"/>
  <c r="W123" i="1"/>
  <c r="X123" i="1"/>
  <c r="R122" i="1"/>
  <c r="S122" i="1"/>
  <c r="T122" i="1"/>
  <c r="U122" i="1"/>
  <c r="V122" i="1"/>
  <c r="W122" i="1"/>
  <c r="X122" i="1"/>
  <c r="R121" i="1"/>
  <c r="S121" i="1"/>
  <c r="T121" i="1"/>
  <c r="U121" i="1"/>
  <c r="V121" i="1"/>
  <c r="W121" i="1"/>
  <c r="X121" i="1"/>
  <c r="R120" i="1"/>
  <c r="S120" i="1"/>
  <c r="T120" i="1"/>
  <c r="U120" i="1"/>
  <c r="V120" i="1"/>
  <c r="W120" i="1"/>
  <c r="X120" i="1"/>
  <c r="R27" i="1"/>
  <c r="S27" i="1"/>
  <c r="T27" i="1"/>
  <c r="U27" i="1"/>
  <c r="V27" i="1"/>
  <c r="R13" i="1" s="1"/>
  <c r="S15" i="1"/>
  <c r="H244" i="1"/>
  <c r="F244" i="1"/>
  <c r="E244" i="1"/>
  <c r="R245" i="1"/>
  <c r="Q245" i="1"/>
  <c r="O245" i="1"/>
  <c r="N245" i="1"/>
  <c r="F245" i="1"/>
  <c r="G245" i="1" s="1"/>
  <c r="A246" i="1"/>
  <c r="E245" i="1"/>
  <c r="C244" i="1"/>
  <c r="H245" i="1"/>
  <c r="J245" i="1"/>
  <c r="I245" i="1"/>
  <c r="A241" i="1"/>
  <c r="E241" i="1" s="1"/>
  <c r="E240" i="1"/>
  <c r="F240" i="1"/>
  <c r="D240" i="1" s="1"/>
  <c r="D241" i="1" s="1"/>
  <c r="H240" i="1"/>
  <c r="I240" i="1"/>
  <c r="J240" i="1"/>
  <c r="C239" i="1"/>
  <c r="C240" i="1" s="1"/>
  <c r="A236" i="1"/>
  <c r="E235" i="1"/>
  <c r="F235" i="1"/>
  <c r="G236" i="1" s="1"/>
  <c r="C236" i="1" s="1"/>
  <c r="H235" i="1"/>
  <c r="I235" i="1"/>
  <c r="J235" i="1"/>
  <c r="C234" i="1"/>
  <c r="E231" i="1"/>
  <c r="E232" i="1" s="1"/>
  <c r="A232" i="1"/>
  <c r="F231" i="1"/>
  <c r="A230" i="1"/>
  <c r="H231" i="1"/>
  <c r="I231" i="1"/>
  <c r="J231" i="1"/>
  <c r="C227" i="1"/>
  <c r="E228" i="1"/>
  <c r="G228" i="1" s="1"/>
  <c r="F228" i="1"/>
  <c r="H228" i="1"/>
  <c r="I228" i="1"/>
  <c r="J228" i="1"/>
  <c r="A229" i="1"/>
  <c r="C228" i="1"/>
  <c r="W27" i="1"/>
  <c r="X27" i="1"/>
  <c r="A41" i="1"/>
  <c r="E40" i="1"/>
  <c r="F40" i="1"/>
  <c r="D40" i="1" s="1"/>
  <c r="D41" i="1" s="1"/>
  <c r="H40" i="1"/>
  <c r="I40" i="1"/>
  <c r="J40" i="1"/>
  <c r="C39" i="1"/>
  <c r="C40" i="1"/>
  <c r="E223" i="1"/>
  <c r="G222" i="1" s="1"/>
  <c r="A224" i="1"/>
  <c r="F223" i="1"/>
  <c r="A222" i="1"/>
  <c r="G223" i="1"/>
  <c r="H223" i="1"/>
  <c r="I223" i="1"/>
  <c r="J223" i="1"/>
  <c r="C219" i="1"/>
  <c r="E220" i="1"/>
  <c r="F220" i="1"/>
  <c r="H220" i="1"/>
  <c r="I220" i="1"/>
  <c r="J220" i="1"/>
  <c r="A221" i="1"/>
  <c r="C223" i="1"/>
  <c r="A216" i="1"/>
  <c r="E215" i="1"/>
  <c r="F215" i="1"/>
  <c r="E216" i="1" s="1"/>
  <c r="H215" i="1"/>
  <c r="I215" i="1"/>
  <c r="J215" i="1"/>
  <c r="C214" i="1"/>
  <c r="C215" i="1"/>
  <c r="E211" i="1"/>
  <c r="A212" i="1"/>
  <c r="F211" i="1"/>
  <c r="A210" i="1"/>
  <c r="G211" i="1" s="1"/>
  <c r="G210" i="1" s="1"/>
  <c r="H211" i="1"/>
  <c r="I211" i="1"/>
  <c r="J211" i="1"/>
  <c r="C204" i="1"/>
  <c r="E205" i="1"/>
  <c r="F205" i="1"/>
  <c r="H205" i="1"/>
  <c r="I205" i="1"/>
  <c r="J205" i="1"/>
  <c r="A206" i="1"/>
  <c r="E208" i="1"/>
  <c r="A207" i="1"/>
  <c r="F208" i="1"/>
  <c r="H208" i="1"/>
  <c r="I208" i="1"/>
  <c r="J208" i="1"/>
  <c r="A209" i="1"/>
  <c r="A201" i="1"/>
  <c r="E200" i="1"/>
  <c r="F200" i="1"/>
  <c r="E201" i="1" s="1"/>
  <c r="H200" i="1"/>
  <c r="I200" i="1"/>
  <c r="J200" i="1"/>
  <c r="C199" i="1"/>
  <c r="E196" i="1"/>
  <c r="A197" i="1"/>
  <c r="F196" i="1"/>
  <c r="A195" i="1"/>
  <c r="H196" i="1"/>
  <c r="I196" i="1"/>
  <c r="J196" i="1"/>
  <c r="G196" i="1" s="1"/>
  <c r="G195" i="1" s="1"/>
  <c r="C192" i="1"/>
  <c r="C196" i="1"/>
  <c r="E193" i="1"/>
  <c r="F193" i="1"/>
  <c r="G193" i="1" s="1"/>
  <c r="D193" i="1"/>
  <c r="D194" i="1" s="1"/>
  <c r="H193" i="1"/>
  <c r="I193" i="1"/>
  <c r="J193" i="1"/>
  <c r="A194" i="1"/>
  <c r="C193" i="1"/>
  <c r="A189" i="1"/>
  <c r="E188" i="1"/>
  <c r="F188" i="1"/>
  <c r="H188" i="1"/>
  <c r="I188" i="1"/>
  <c r="J188" i="1"/>
  <c r="C187" i="1"/>
  <c r="C188" i="1" s="1"/>
  <c r="E184" i="1"/>
  <c r="A185" i="1"/>
  <c r="F184" i="1"/>
  <c r="A183" i="1"/>
  <c r="H184" i="1"/>
  <c r="I184" i="1"/>
  <c r="J184" i="1"/>
  <c r="C177" i="1"/>
  <c r="E178" i="1"/>
  <c r="F178" i="1"/>
  <c r="H178" i="1"/>
  <c r="I178" i="1"/>
  <c r="J178" i="1"/>
  <c r="A179" i="1"/>
  <c r="E181" i="1"/>
  <c r="A180" i="1"/>
  <c r="F181" i="1"/>
  <c r="H181" i="1"/>
  <c r="I181" i="1"/>
  <c r="J181" i="1"/>
  <c r="A182" i="1"/>
  <c r="C184" i="1"/>
  <c r="C181" i="1"/>
  <c r="A174" i="1"/>
  <c r="E173" i="1"/>
  <c r="F173" i="1"/>
  <c r="H173" i="1"/>
  <c r="G173" i="1" s="1"/>
  <c r="I173" i="1"/>
  <c r="J173" i="1"/>
  <c r="C172" i="1"/>
  <c r="C173" i="1" s="1"/>
  <c r="E169" i="1"/>
  <c r="A170" i="1"/>
  <c r="F169" i="1"/>
  <c r="A168" i="1"/>
  <c r="G169" i="1" s="1"/>
  <c r="G170" i="1" s="1"/>
  <c r="C170" i="1" s="1"/>
  <c r="H169" i="1"/>
  <c r="I169" i="1"/>
  <c r="E170" i="1" s="1"/>
  <c r="J169" i="1"/>
  <c r="C162" i="1"/>
  <c r="C163" i="1" s="1"/>
  <c r="E163" i="1"/>
  <c r="F163" i="1"/>
  <c r="H163" i="1"/>
  <c r="I163" i="1"/>
  <c r="J163" i="1"/>
  <c r="A164" i="1"/>
  <c r="E166" i="1"/>
  <c r="G166" i="1" s="1"/>
  <c r="A165" i="1"/>
  <c r="F166" i="1"/>
  <c r="H166" i="1"/>
  <c r="I166" i="1"/>
  <c r="J166" i="1"/>
  <c r="A167" i="1"/>
  <c r="C169" i="1"/>
  <c r="E164" i="1"/>
  <c r="K8" i="1"/>
  <c r="A159" i="1"/>
  <c r="E158" i="1"/>
  <c r="F158" i="1"/>
  <c r="H158" i="1"/>
  <c r="I158" i="1"/>
  <c r="J158" i="1"/>
  <c r="C157" i="1"/>
  <c r="C158" i="1" s="1"/>
  <c r="E154" i="1"/>
  <c r="G153" i="1" s="1"/>
  <c r="A155" i="1"/>
  <c r="F154" i="1"/>
  <c r="A153" i="1"/>
  <c r="H154" i="1"/>
  <c r="G154" i="1"/>
  <c r="I154" i="1"/>
  <c r="J154" i="1"/>
  <c r="C147" i="1"/>
  <c r="C151" i="1" s="1"/>
  <c r="E148" i="1"/>
  <c r="F148" i="1"/>
  <c r="D148" i="1" s="1"/>
  <c r="D149" i="1" s="1"/>
  <c r="G148" i="1"/>
  <c r="H148" i="1"/>
  <c r="I148" i="1"/>
  <c r="J148" i="1"/>
  <c r="A149" i="1"/>
  <c r="E151" i="1"/>
  <c r="E152" i="1" s="1"/>
  <c r="A150" i="1"/>
  <c r="G151" i="1" s="1"/>
  <c r="G152" i="1" s="1"/>
  <c r="F151" i="1"/>
  <c r="H151" i="1"/>
  <c r="I151" i="1"/>
  <c r="J151" i="1"/>
  <c r="A152" i="1"/>
  <c r="C152" i="1"/>
  <c r="K153" i="1" s="1"/>
  <c r="L153" i="1" s="1"/>
  <c r="C154" i="1"/>
  <c r="A32" i="1"/>
  <c r="G33" i="1" s="1"/>
  <c r="G32" i="1" s="1"/>
  <c r="E33" i="1"/>
  <c r="B19" i="1"/>
  <c r="A19" i="1" s="1"/>
  <c r="B20" i="1"/>
  <c r="A20" i="1" s="1"/>
  <c r="G20" i="1" s="1"/>
  <c r="F27" i="1"/>
  <c r="E13" i="1" s="1"/>
  <c r="H27" i="1"/>
  <c r="I27" i="1"/>
  <c r="A29" i="1"/>
  <c r="E30" i="1"/>
  <c r="E31" i="1"/>
  <c r="A31" i="1"/>
  <c r="B21" i="1"/>
  <c r="B16" i="1"/>
  <c r="B17" i="1" s="1"/>
  <c r="A17" i="1" s="1"/>
  <c r="B18" i="1"/>
  <c r="A18" i="1" s="1"/>
  <c r="B15" i="1"/>
  <c r="A34" i="1"/>
  <c r="G34" i="1" s="1"/>
  <c r="J33" i="1"/>
  <c r="I33" i="1"/>
  <c r="H33" i="1"/>
  <c r="F33" i="1"/>
  <c r="A144" i="1"/>
  <c r="E143" i="1"/>
  <c r="F143" i="1"/>
  <c r="H143" i="1"/>
  <c r="I143" i="1"/>
  <c r="J143" i="1"/>
  <c r="C142" i="1"/>
  <c r="C143" i="1"/>
  <c r="E139" i="1"/>
  <c r="A140" i="1"/>
  <c r="F139" i="1"/>
  <c r="E140" i="1" s="1"/>
  <c r="A138" i="1"/>
  <c r="G139" i="1" s="1"/>
  <c r="G138" i="1" s="1"/>
  <c r="H139" i="1"/>
  <c r="I139" i="1"/>
  <c r="J139" i="1"/>
  <c r="C135" i="1"/>
  <c r="C139" i="1" s="1"/>
  <c r="E136" i="1"/>
  <c r="G136" i="1" s="1"/>
  <c r="F136" i="1"/>
  <c r="D136" i="1"/>
  <c r="D137" i="1" s="1"/>
  <c r="H136" i="1"/>
  <c r="I136" i="1"/>
  <c r="J136" i="1"/>
  <c r="A137" i="1"/>
  <c r="A132" i="1"/>
  <c r="E131" i="1"/>
  <c r="F131" i="1"/>
  <c r="H131" i="1"/>
  <c r="I131" i="1"/>
  <c r="J131" i="1"/>
  <c r="C130" i="1"/>
  <c r="E127" i="1"/>
  <c r="A128" i="1"/>
  <c r="F127" i="1"/>
  <c r="E128" i="1" s="1"/>
  <c r="A126" i="1"/>
  <c r="G127" i="1" s="1"/>
  <c r="G128" i="1" s="1"/>
  <c r="C128" i="1" s="1"/>
  <c r="H127" i="1"/>
  <c r="I127" i="1"/>
  <c r="J127" i="1"/>
  <c r="C123" i="1"/>
  <c r="C127" i="1" s="1"/>
  <c r="E124" i="1"/>
  <c r="E125" i="1" s="1"/>
  <c r="F124" i="1"/>
  <c r="G124" i="1"/>
  <c r="H124" i="1"/>
  <c r="I124" i="1"/>
  <c r="J124" i="1"/>
  <c r="A125" i="1"/>
  <c r="C124" i="1"/>
  <c r="A116" i="1"/>
  <c r="A120" i="1"/>
  <c r="E119" i="1"/>
  <c r="D119" i="1" s="1"/>
  <c r="F119" i="1"/>
  <c r="H119" i="1"/>
  <c r="I119" i="1"/>
  <c r="J119" i="1"/>
  <c r="C118" i="1"/>
  <c r="J115" i="1"/>
  <c r="I115" i="1"/>
  <c r="H115" i="1"/>
  <c r="A114" i="1"/>
  <c r="E115" i="1"/>
  <c r="F115" i="1"/>
  <c r="C111" i="1"/>
  <c r="C112" i="1"/>
  <c r="E112" i="1"/>
  <c r="D112" i="1" s="1"/>
  <c r="D113" i="1" s="1"/>
  <c r="F112" i="1"/>
  <c r="H112" i="1"/>
  <c r="G112" i="1" s="1"/>
  <c r="I112" i="1"/>
  <c r="J112" i="1"/>
  <c r="A113" i="1"/>
  <c r="C115" i="1"/>
  <c r="A108" i="1"/>
  <c r="E107" i="1"/>
  <c r="F107" i="1"/>
  <c r="H107" i="1"/>
  <c r="I107" i="1"/>
  <c r="J107" i="1"/>
  <c r="C106" i="1"/>
  <c r="C107" i="1" s="1"/>
  <c r="E103" i="1"/>
  <c r="A104" i="1"/>
  <c r="F103" i="1"/>
  <c r="A102" i="1"/>
  <c r="H103" i="1"/>
  <c r="I103" i="1"/>
  <c r="G103" i="1" s="1"/>
  <c r="G104" i="1" s="1"/>
  <c r="J103" i="1"/>
  <c r="C99" i="1"/>
  <c r="E100" i="1"/>
  <c r="F100" i="1"/>
  <c r="H100" i="1"/>
  <c r="I100" i="1"/>
  <c r="J100" i="1"/>
  <c r="A101" i="1"/>
  <c r="A96" i="1"/>
  <c r="E95" i="1"/>
  <c r="G95" i="1" s="1"/>
  <c r="F95" i="1"/>
  <c r="H95" i="1"/>
  <c r="I95" i="1"/>
  <c r="J95" i="1"/>
  <c r="C94" i="1"/>
  <c r="O15" i="1"/>
  <c r="O14" i="1"/>
  <c r="O13" i="1"/>
  <c r="S13" i="1"/>
  <c r="A91" i="1"/>
  <c r="E90" i="1"/>
  <c r="F90" i="1"/>
  <c r="H90" i="1"/>
  <c r="I90" i="1"/>
  <c r="J90" i="1"/>
  <c r="C89" i="1"/>
  <c r="A86" i="1"/>
  <c r="E85" i="1"/>
  <c r="D85" i="1" s="1"/>
  <c r="D86" i="1" s="1"/>
  <c r="E86" i="1"/>
  <c r="F85" i="1"/>
  <c r="H85" i="1"/>
  <c r="I85" i="1"/>
  <c r="J85" i="1"/>
  <c r="C84" i="1"/>
  <c r="C85" i="1"/>
  <c r="E48" i="1"/>
  <c r="A49" i="1"/>
  <c r="F48" i="1"/>
  <c r="A47" i="1"/>
  <c r="H48" i="1"/>
  <c r="I48" i="1"/>
  <c r="J48" i="1"/>
  <c r="C44" i="1"/>
  <c r="C45" i="1"/>
  <c r="E45" i="1"/>
  <c r="E46" i="1" s="1"/>
  <c r="F45" i="1"/>
  <c r="H45" i="1"/>
  <c r="I45" i="1"/>
  <c r="J45" i="1"/>
  <c r="A46" i="1"/>
  <c r="C48" i="1"/>
  <c r="A54" i="1"/>
  <c r="E53" i="1"/>
  <c r="F53" i="1"/>
  <c r="H53" i="1"/>
  <c r="I53" i="1"/>
  <c r="J53" i="1"/>
  <c r="C52" i="1"/>
  <c r="C53" i="1" s="1"/>
  <c r="F30" i="1"/>
  <c r="H30" i="1"/>
  <c r="E79" i="1"/>
  <c r="A80" i="1"/>
  <c r="E80" i="1" s="1"/>
  <c r="F79" i="1"/>
  <c r="A78" i="1"/>
  <c r="H79" i="1"/>
  <c r="I79" i="1"/>
  <c r="J79" i="1"/>
  <c r="C75" i="1"/>
  <c r="C79" i="1"/>
  <c r="E76" i="1"/>
  <c r="F76" i="1"/>
  <c r="H76" i="1"/>
  <c r="I76" i="1"/>
  <c r="J76" i="1"/>
  <c r="A77" i="1"/>
  <c r="E77" i="1"/>
  <c r="C76" i="1"/>
  <c r="A72" i="1"/>
  <c r="E71" i="1"/>
  <c r="E72" i="1" s="1"/>
  <c r="F71" i="1"/>
  <c r="H71" i="1"/>
  <c r="I71" i="1"/>
  <c r="J71" i="1"/>
  <c r="C70" i="1"/>
  <c r="A16" i="1"/>
  <c r="E66" i="1"/>
  <c r="A67" i="1"/>
  <c r="F66" i="1"/>
  <c r="A65" i="1"/>
  <c r="H66" i="1"/>
  <c r="I66" i="1"/>
  <c r="J66" i="1"/>
  <c r="C62" i="1"/>
  <c r="G63" i="1" s="1"/>
  <c r="C63" i="1"/>
  <c r="E63" i="1"/>
  <c r="F63" i="1"/>
  <c r="G62" i="1" s="1"/>
  <c r="H63" i="1"/>
  <c r="I63" i="1"/>
  <c r="J63" i="1"/>
  <c r="A64" i="1"/>
  <c r="C66" i="1"/>
  <c r="J27" i="1"/>
  <c r="I30" i="1"/>
  <c r="E16" i="1" s="1"/>
  <c r="J30" i="1"/>
  <c r="A13" i="1"/>
  <c r="AB12" i="1"/>
  <c r="AB13" i="1"/>
  <c r="AB14" i="1"/>
  <c r="AB15" i="1"/>
  <c r="AB16" i="1"/>
  <c r="AB11" i="1"/>
  <c r="Z11" i="1"/>
  <c r="AC11" i="1" s="1"/>
  <c r="AD11" i="1" s="1"/>
  <c r="Z12" i="1"/>
  <c r="AC12" i="1"/>
  <c r="AD12" i="1"/>
  <c r="Z13" i="1"/>
  <c r="AC13" i="1"/>
  <c r="AD13" i="1" s="1"/>
  <c r="Z14" i="1"/>
  <c r="AC14" i="1"/>
  <c r="AD14" i="1" s="1"/>
  <c r="Z15" i="1"/>
  <c r="AC15" i="1"/>
  <c r="Z16" i="1"/>
  <c r="AC16" i="1" s="1"/>
  <c r="AD16" i="1" s="1"/>
  <c r="C90" i="1"/>
  <c r="A21" i="1"/>
  <c r="E21" i="1" s="1"/>
  <c r="D173" i="1"/>
  <c r="D174" i="1" s="1"/>
  <c r="C178" i="1"/>
  <c r="D215" i="1"/>
  <c r="D216" i="1" s="1"/>
  <c r="C235" i="1"/>
  <c r="E34" i="1"/>
  <c r="D200" i="1"/>
  <c r="D201" i="1"/>
  <c r="C231" i="1"/>
  <c r="C166" i="1"/>
  <c r="AJ47" i="1"/>
  <c r="AJ48" i="1" s="1"/>
  <c r="U13" i="1"/>
  <c r="Q13" i="1"/>
  <c r="E59" i="1"/>
  <c r="C58" i="1"/>
  <c r="C33" i="1"/>
  <c r="C30" i="1"/>
  <c r="AM39" i="1"/>
  <c r="AM37" i="1"/>
  <c r="AJ38" i="1"/>
  <c r="AJ39" i="1" s="1"/>
  <c r="AK39" i="1"/>
  <c r="G78" i="1"/>
  <c r="C20" i="1"/>
  <c r="E20" i="1"/>
  <c r="G140" i="1"/>
  <c r="AM48" i="1"/>
  <c r="AI48" i="1" s="1"/>
  <c r="AK34" i="1"/>
  <c r="E246" i="1"/>
  <c r="T15" i="1"/>
  <c r="AM47" i="1"/>
  <c r="G224" i="1"/>
  <c r="E113" i="1"/>
  <c r="G21" i="1"/>
  <c r="C21" i="1" s="1"/>
  <c r="E229" i="1"/>
  <c r="E149" i="1"/>
  <c r="E19" i="1"/>
  <c r="D120" i="1"/>
  <c r="G111" i="1"/>
  <c r="G71" i="1"/>
  <c r="G70" i="1"/>
  <c r="E64" i="1"/>
  <c r="C71" i="1"/>
  <c r="G76" i="1"/>
  <c r="G79" i="1"/>
  <c r="G80" i="1" s="1"/>
  <c r="C80" i="1" s="1"/>
  <c r="D45" i="1"/>
  <c r="D46" i="1" s="1"/>
  <c r="G45" i="1"/>
  <c r="E49" i="1"/>
  <c r="D107" i="1"/>
  <c r="D108" i="1" s="1"/>
  <c r="C119" i="1"/>
  <c r="E144" i="1"/>
  <c r="E167" i="1"/>
  <c r="G174" i="1"/>
  <c r="E174" i="1"/>
  <c r="E182" i="1"/>
  <c r="E189" i="1"/>
  <c r="E209" i="1"/>
  <c r="G215" i="1"/>
  <c r="C220" i="1"/>
  <c r="D228" i="1"/>
  <c r="D229" i="1" s="1"/>
  <c r="D235" i="1"/>
  <c r="D236" i="1"/>
  <c r="E96" i="1"/>
  <c r="AM33" i="1"/>
  <c r="AM32" i="1"/>
  <c r="R15" i="1"/>
  <c r="C224" i="1"/>
  <c r="G143" i="1"/>
  <c r="G144" i="1" s="1"/>
  <c r="G135" i="1"/>
  <c r="G107" i="1"/>
  <c r="E91" i="1"/>
  <c r="G64" i="1"/>
  <c r="C64" i="1" s="1"/>
  <c r="K65" i="1" s="1"/>
  <c r="L65" i="1" s="1"/>
  <c r="D71" i="1"/>
  <c r="D72" i="1"/>
  <c r="D124" i="1"/>
  <c r="D125" i="1" s="1"/>
  <c r="E137" i="1"/>
  <c r="G147" i="1"/>
  <c r="G194" i="1"/>
  <c r="C194" i="1" s="1"/>
  <c r="K195" i="1" s="1"/>
  <c r="L195" i="1" s="1"/>
  <c r="D195" i="1" s="1"/>
  <c r="D196" i="1" s="1"/>
  <c r="D197" i="1" s="1"/>
  <c r="G208" i="1"/>
  <c r="G209" i="1" s="1"/>
  <c r="G227" i="1"/>
  <c r="G58" i="1"/>
  <c r="G57" i="1" s="1"/>
  <c r="D58" i="1"/>
  <c r="D59" i="1" s="1"/>
  <c r="U15" i="1"/>
  <c r="Q15" i="1" s="1"/>
  <c r="AM46" i="1"/>
  <c r="G85" i="1"/>
  <c r="D163" i="1"/>
  <c r="D164" i="1" s="1"/>
  <c r="E194" i="1"/>
  <c r="D205" i="1"/>
  <c r="D206" i="1" s="1"/>
  <c r="G40" i="1"/>
  <c r="G41" i="1"/>
  <c r="C41" i="1" s="1"/>
  <c r="G235" i="1"/>
  <c r="G234" i="1" s="1"/>
  <c r="G229" i="1"/>
  <c r="C229" i="1" s="1"/>
  <c r="K230" i="1" s="1"/>
  <c r="L230" i="1" s="1"/>
  <c r="G44" i="1"/>
  <c r="E18" i="1"/>
  <c r="AM34" i="1"/>
  <c r="AI34" i="1" s="1"/>
  <c r="E17" i="1"/>
  <c r="G27" i="1"/>
  <c r="G13" i="1" s="1"/>
  <c r="C13" i="1" s="1"/>
  <c r="D27" i="1"/>
  <c r="C34" i="1"/>
  <c r="G28" i="1"/>
  <c r="C28" i="1"/>
  <c r="C29" i="1" s="1"/>
  <c r="L29" i="1"/>
  <c r="D29" i="1" s="1"/>
  <c r="D30" i="1" s="1"/>
  <c r="D28" i="1"/>
  <c r="D13" i="1"/>
  <c r="G219" i="1" l="1"/>
  <c r="D18" i="1"/>
  <c r="D31" i="1"/>
  <c r="D16" i="1"/>
  <c r="D17" i="1"/>
  <c r="G54" i="1"/>
  <c r="C54" i="1" s="1"/>
  <c r="G216" i="1"/>
  <c r="C216" i="1" s="1"/>
  <c r="G126" i="1"/>
  <c r="AD15" i="1"/>
  <c r="AD10" i="1" s="1"/>
  <c r="U14" i="1"/>
  <c r="Q14" i="1" s="1"/>
  <c r="S14" i="1"/>
  <c r="T14" i="1"/>
  <c r="C200" i="1"/>
  <c r="G200" i="1"/>
  <c r="D90" i="1"/>
  <c r="D91" i="1" s="1"/>
  <c r="G90" i="1"/>
  <c r="G91" i="1" s="1"/>
  <c r="C91" i="1" s="1"/>
  <c r="D143" i="1"/>
  <c r="D144" i="1" s="1"/>
  <c r="G142" i="1"/>
  <c r="E212" i="1"/>
  <c r="G212" i="1"/>
  <c r="C212" i="1" s="1"/>
  <c r="G232" i="1"/>
  <c r="C232" i="1" s="1"/>
  <c r="E236" i="1"/>
  <c r="G231" i="1"/>
  <c r="G230" i="1"/>
  <c r="D230" i="1"/>
  <c r="D231" i="1" s="1"/>
  <c r="D232" i="1" s="1"/>
  <c r="D53" i="1"/>
  <c r="D54" i="1" s="1"/>
  <c r="E67" i="1"/>
  <c r="G72" i="1"/>
  <c r="C72" i="1" s="1"/>
  <c r="G75" i="1"/>
  <c r="D76" i="1"/>
  <c r="D77" i="1" s="1"/>
  <c r="D78" i="1" s="1"/>
  <c r="D79" i="1" s="1"/>
  <c r="D80" i="1" s="1"/>
  <c r="G123" i="1"/>
  <c r="G131" i="1"/>
  <c r="D131" i="1"/>
  <c r="D132" i="1" s="1"/>
  <c r="E132" i="1"/>
  <c r="E206" i="1"/>
  <c r="G205" i="1"/>
  <c r="G206" i="1" s="1"/>
  <c r="C206" i="1" s="1"/>
  <c r="K207" i="1" s="1"/>
  <c r="L207" i="1" s="1"/>
  <c r="D207" i="1" s="1"/>
  <c r="D208" i="1" s="1"/>
  <c r="D209" i="1" s="1"/>
  <c r="D210" i="1" s="1"/>
  <c r="D211" i="1" s="1"/>
  <c r="D212" i="1" s="1"/>
  <c r="G204" i="1"/>
  <c r="E41" i="1"/>
  <c r="G59" i="1"/>
  <c r="C59" i="1" s="1"/>
  <c r="G53" i="1"/>
  <c r="G52" i="1" s="1"/>
  <c r="G167" i="1"/>
  <c r="C167" i="1" s="1"/>
  <c r="K168" i="1" s="1"/>
  <c r="L168" i="1" s="1"/>
  <c r="G214" i="1"/>
  <c r="G108" i="1"/>
  <c r="C108" i="1" s="1"/>
  <c r="G207" i="1"/>
  <c r="C209" i="1"/>
  <c r="K210" i="1" s="1"/>
  <c r="L210" i="1" s="1"/>
  <c r="G246" i="1"/>
  <c r="C246" i="1" s="1"/>
  <c r="E54" i="1"/>
  <c r="G100" i="1"/>
  <c r="G101" i="1" s="1"/>
  <c r="C101" i="1" s="1"/>
  <c r="K102" i="1" s="1"/>
  <c r="L102" i="1" s="1"/>
  <c r="G137" i="1"/>
  <c r="C137" i="1" s="1"/>
  <c r="K138" i="1" s="1"/>
  <c r="L138" i="1" s="1"/>
  <c r="D138" i="1" s="1"/>
  <c r="D139" i="1" s="1"/>
  <c r="D140" i="1" s="1"/>
  <c r="C144" i="1"/>
  <c r="G19" i="1"/>
  <c r="C19" i="1" s="1"/>
  <c r="G188" i="1"/>
  <c r="G189" i="1" s="1"/>
  <c r="C189" i="1" s="1"/>
  <c r="G187" i="1"/>
  <c r="D188" i="1"/>
  <c r="D189" i="1" s="1"/>
  <c r="E221" i="1"/>
  <c r="D220" i="1"/>
  <c r="D221" i="1" s="1"/>
  <c r="G220" i="1"/>
  <c r="G221" i="1" s="1"/>
  <c r="C221" i="1" s="1"/>
  <c r="K222" i="1" s="1"/>
  <c r="L222" i="1" s="1"/>
  <c r="F13" i="1"/>
  <c r="G26" i="1"/>
  <c r="G77" i="1"/>
  <c r="C77" i="1" s="1"/>
  <c r="K78" i="1" s="1"/>
  <c r="L78" i="1" s="1"/>
  <c r="G94" i="1"/>
  <c r="D100" i="1"/>
  <c r="D101" i="1" s="1"/>
  <c r="E104" i="1"/>
  <c r="G125" i="1"/>
  <c r="C125" i="1" s="1"/>
  <c r="K126" i="1" s="1"/>
  <c r="L126" i="1" s="1"/>
  <c r="D126" i="1" s="1"/>
  <c r="D127" i="1" s="1"/>
  <c r="D128" i="1" s="1"/>
  <c r="E159" i="1"/>
  <c r="G192" i="1"/>
  <c r="R14" i="1"/>
  <c r="G66" i="1"/>
  <c r="G67" i="1" s="1"/>
  <c r="C67" i="1" s="1"/>
  <c r="A15" i="1"/>
  <c r="B14" i="1"/>
  <c r="A14" i="1" s="1"/>
  <c r="G165" i="1"/>
  <c r="C104" i="1"/>
  <c r="G113" i="1"/>
  <c r="C113" i="1" s="1"/>
  <c r="K114" i="1" s="1"/>
  <c r="L114" i="1" s="1"/>
  <c r="D114" i="1" s="1"/>
  <c r="D115" i="1" s="1"/>
  <c r="D116" i="1" s="1"/>
  <c r="E116" i="1"/>
  <c r="G115" i="1"/>
  <c r="G30" i="1"/>
  <c r="F18" i="1" s="1"/>
  <c r="G163" i="1"/>
  <c r="G162" i="1" s="1"/>
  <c r="G181" i="1"/>
  <c r="G182" i="1" s="1"/>
  <c r="C182" i="1" s="1"/>
  <c r="K183" i="1" s="1"/>
  <c r="L183" i="1" s="1"/>
  <c r="G178" i="1"/>
  <c r="G177" i="1" s="1"/>
  <c r="G184" i="1"/>
  <c r="E197" i="1"/>
  <c r="G39" i="1"/>
  <c r="D245" i="1"/>
  <c r="D246" i="1" s="1"/>
  <c r="G46" i="1"/>
  <c r="C46" i="1" s="1"/>
  <c r="K47" i="1" s="1"/>
  <c r="L47" i="1" s="1"/>
  <c r="D47" i="1" s="1"/>
  <c r="D48" i="1" s="1"/>
  <c r="D49" i="1" s="1"/>
  <c r="G168" i="1"/>
  <c r="C140" i="1"/>
  <c r="E185" i="1"/>
  <c r="G149" i="1"/>
  <c r="C149" i="1" s="1"/>
  <c r="K150" i="1" s="1"/>
  <c r="L150" i="1" s="1"/>
  <c r="D150" i="1" s="1"/>
  <c r="D151" i="1" s="1"/>
  <c r="D152" i="1" s="1"/>
  <c r="D153" i="1" s="1"/>
  <c r="D154" i="1" s="1"/>
  <c r="D155" i="1" s="1"/>
  <c r="G119" i="1"/>
  <c r="G120" i="1" s="1"/>
  <c r="C120" i="1" s="1"/>
  <c r="E179" i="1"/>
  <c r="C174" i="1"/>
  <c r="G150" i="1"/>
  <c r="G244" i="1"/>
  <c r="G96" i="1"/>
  <c r="C96" i="1" s="1"/>
  <c r="C95" i="1"/>
  <c r="C136" i="1"/>
  <c r="C211" i="1"/>
  <c r="G240" i="1"/>
  <c r="G241" i="1" s="1"/>
  <c r="C241" i="1" s="1"/>
  <c r="G48" i="1"/>
  <c r="G49" i="1" s="1"/>
  <c r="C49" i="1" s="1"/>
  <c r="C100" i="1"/>
  <c r="D158" i="1"/>
  <c r="D159" i="1" s="1"/>
  <c r="G172" i="1"/>
  <c r="G86" i="1"/>
  <c r="C86" i="1" s="1"/>
  <c r="G197" i="1"/>
  <c r="C197" i="1" s="1"/>
  <c r="D95" i="1"/>
  <c r="D96" i="1" s="1"/>
  <c r="G106" i="1"/>
  <c r="C205" i="1"/>
  <c r="G102" i="1"/>
  <c r="G155" i="1"/>
  <c r="C155" i="1" s="1"/>
  <c r="G84" i="1"/>
  <c r="C208" i="1"/>
  <c r="G158" i="1"/>
  <c r="G157" i="1" s="1"/>
  <c r="E101" i="1"/>
  <c r="C131" i="1"/>
  <c r="C148" i="1"/>
  <c r="E155" i="1"/>
  <c r="E224" i="1"/>
  <c r="C103" i="1"/>
  <c r="E108" i="1"/>
  <c r="E120" i="1"/>
  <c r="D178" i="1"/>
  <c r="D179" i="1" s="1"/>
  <c r="D63" i="1"/>
  <c r="D64" i="1" s="1"/>
  <c r="D65" i="1" s="1"/>
  <c r="D66" i="1" s="1"/>
  <c r="D67" i="1" s="1"/>
  <c r="AI39" i="1"/>
  <c r="G159" i="1" l="1"/>
  <c r="C159" i="1" s="1"/>
  <c r="G47" i="1"/>
  <c r="G180" i="1"/>
  <c r="G99" i="1"/>
  <c r="G185" i="1"/>
  <c r="C185" i="1" s="1"/>
  <c r="G183" i="1"/>
  <c r="G15" i="1"/>
  <c r="C15" i="1" s="1"/>
  <c r="F15" i="1"/>
  <c r="E15" i="1"/>
  <c r="D102" i="1"/>
  <c r="D103" i="1" s="1"/>
  <c r="D104" i="1" s="1"/>
  <c r="G239" i="1"/>
  <c r="G16" i="1"/>
  <c r="C16" i="1" s="1"/>
  <c r="G29" i="1"/>
  <c r="G18" i="1"/>
  <c r="C18" i="1" s="1"/>
  <c r="G118" i="1"/>
  <c r="G65" i="1"/>
  <c r="F16" i="1"/>
  <c r="D222" i="1"/>
  <c r="D223" i="1" s="1"/>
  <c r="D224" i="1" s="1"/>
  <c r="G14" i="1"/>
  <c r="C14" i="1" s="1"/>
  <c r="F14" i="1"/>
  <c r="E14" i="1"/>
  <c r="D14" i="1"/>
  <c r="G89" i="1"/>
  <c r="G179" i="1"/>
  <c r="C179" i="1" s="1"/>
  <c r="K180" i="1" s="1"/>
  <c r="L180" i="1" s="1"/>
  <c r="D180" i="1" s="1"/>
  <c r="D181" i="1" s="1"/>
  <c r="D182" i="1" s="1"/>
  <c r="D183" i="1" s="1"/>
  <c r="D184" i="1" s="1"/>
  <c r="D185" i="1" s="1"/>
  <c r="G114" i="1"/>
  <c r="G116" i="1"/>
  <c r="C116" i="1" s="1"/>
  <c r="G31" i="1"/>
  <c r="C31" i="1" s="1"/>
  <c r="K32" i="1" s="1"/>
  <c r="L32" i="1" s="1"/>
  <c r="D32" i="1" s="1"/>
  <c r="D33" i="1" s="1"/>
  <c r="G17" i="1"/>
  <c r="C17" i="1" s="1"/>
  <c r="G164" i="1"/>
  <c r="C164" i="1" s="1"/>
  <c r="K165" i="1" s="1"/>
  <c r="L165" i="1" s="1"/>
  <c r="D165" i="1" s="1"/>
  <c r="D166" i="1" s="1"/>
  <c r="D167" i="1" s="1"/>
  <c r="D168" i="1" s="1"/>
  <c r="D169" i="1" s="1"/>
  <c r="D170" i="1" s="1"/>
  <c r="G132" i="1"/>
  <c r="C132" i="1" s="1"/>
  <c r="G130" i="1"/>
  <c r="G199" i="1"/>
  <c r="G201" i="1"/>
  <c r="C201" i="1" s="1"/>
  <c r="F17" i="1"/>
  <c r="D15" i="1"/>
  <c r="D20" i="1" l="1"/>
  <c r="D19" i="1"/>
  <c r="D34" i="1"/>
  <c r="D21" i="1"/>
  <c r="F21" i="1"/>
  <c r="F19" i="1"/>
  <c r="F20" i="1"/>
</calcChain>
</file>

<file path=xl/comments1.xml><?xml version="1.0" encoding="utf-8"?>
<comments xmlns="http://schemas.openxmlformats.org/spreadsheetml/2006/main">
  <authors>
    <author>Кутьин</author>
    <author>Кутьин А.М.</author>
  </authors>
  <commentList>
    <comment ref="C12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Полная  энтальпия вещества</t>
        </r>
      </text>
    </comment>
    <comment ref="Q12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Полная  энтальпия вещества</t>
        </r>
      </text>
    </comment>
    <comment ref="E24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Расширенное уравнение Майера-Келли</t>
        </r>
      </text>
    </comment>
    <comment ref="C25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Полная  энтальпия вещества</t>
        </r>
      </text>
    </comment>
    <comment ref="G25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B26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ΔfH298</t>
        </r>
      </text>
    </comment>
    <comment ref="C26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Энтальпия отсчета</t>
        </r>
      </text>
    </comment>
    <comment ref="B27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Энтальпия нагревания от 0 до 298,15К (δH)</t>
        </r>
      </text>
    </comment>
    <comment ref="C27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h0</t>
        </r>
      </text>
    </comment>
    <comment ref="D27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φ1</t>
        </r>
      </text>
    </comment>
    <comment ref="E27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φ2</t>
        </r>
      </text>
    </comment>
    <comment ref="F27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φ3</t>
        </r>
      </text>
    </comment>
    <comment ref="G27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φ4</t>
        </r>
      </text>
    </comment>
    <comment ref="H27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φ5</t>
        </r>
      </text>
    </comment>
    <comment ref="I27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φ6</t>
        </r>
      </text>
    </comment>
    <comment ref="J27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φ7</t>
        </r>
      </text>
    </comment>
    <comment ref="K29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1"/>
            <color indexed="81"/>
            <rFont val="Arial Narrow"/>
            <family val="2"/>
            <charset val="204"/>
          </rPr>
          <t>Δ</t>
        </r>
        <r>
          <rPr>
            <sz val="11"/>
            <color indexed="81"/>
            <rFont val="Tahoma"/>
            <family val="2"/>
            <charset val="204"/>
          </rPr>
          <t>trH</t>
        </r>
      </text>
    </comment>
    <comment ref="L29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Энтропия, соответствующая энтальпии  перехода</t>
        </r>
      </text>
    </comment>
    <comment ref="AI31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Полная  энтальпия вещества</t>
        </r>
      </text>
    </comment>
    <comment ref="AM31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K32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1"/>
            <color indexed="81"/>
            <rFont val="Arial Narrow"/>
            <family val="2"/>
            <charset val="204"/>
          </rPr>
          <t>Δ</t>
        </r>
        <r>
          <rPr>
            <sz val="11"/>
            <color indexed="81"/>
            <rFont val="Tahoma"/>
            <family val="2"/>
            <charset val="204"/>
          </rPr>
          <t>trH</t>
        </r>
      </text>
    </comment>
    <comment ref="L32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Энтропия, соответствующая энтальпии  перехода</t>
        </r>
      </text>
    </comment>
    <comment ref="AH32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ΔfH298</t>
        </r>
      </text>
    </comment>
    <comment ref="AI32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Энтальпия отсчета</t>
        </r>
      </text>
    </comment>
    <comment ref="AH33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Энтальпия нагревания от 0 до 298,15К (δH)</t>
        </r>
      </text>
    </comment>
    <comment ref="AI33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h0</t>
        </r>
      </text>
    </comment>
    <comment ref="AJ33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φ1</t>
        </r>
      </text>
    </comment>
    <comment ref="AK33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φ2</t>
        </r>
      </text>
    </comment>
    <comment ref="AL33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φ3</t>
        </r>
      </text>
    </comment>
    <comment ref="AM33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φ4</t>
        </r>
      </text>
    </comment>
    <comment ref="AN33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φ5</t>
        </r>
      </text>
    </comment>
    <comment ref="AO33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φ6</t>
        </r>
      </text>
    </comment>
    <comment ref="AP33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φ7</t>
        </r>
      </text>
    </comment>
    <comment ref="AI36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Полная  энтальпия вещества</t>
        </r>
      </text>
    </comment>
    <comment ref="AM36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AH37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ΔfH298</t>
        </r>
      </text>
    </comment>
    <comment ref="AI37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Энтальпия отсчета</t>
        </r>
      </text>
    </comment>
    <comment ref="C38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Полная  энтальпия вещества</t>
        </r>
      </text>
    </comment>
    <comment ref="G38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AH38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Энтальпия нагревания от 0 до 298,15К (δH)</t>
        </r>
      </text>
    </comment>
    <comment ref="AI38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h0</t>
        </r>
      </text>
    </comment>
    <comment ref="AJ38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φ1</t>
        </r>
      </text>
    </comment>
    <comment ref="AK38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φ2</t>
        </r>
      </text>
    </comment>
    <comment ref="AL38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φ3</t>
        </r>
      </text>
    </comment>
    <comment ref="AM38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φ4</t>
        </r>
      </text>
    </comment>
    <comment ref="AN38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φ5</t>
        </r>
      </text>
    </comment>
    <comment ref="AO38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φ6</t>
        </r>
      </text>
    </comment>
    <comment ref="AP38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φ7</t>
        </r>
      </text>
    </comment>
    <comment ref="B39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ΔfH298</t>
        </r>
      </text>
    </comment>
    <comment ref="C39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Энтальпия отсчета</t>
        </r>
      </text>
    </comment>
    <comment ref="B40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Энтальпия нагревания от 0 до 298,15К (δH)</t>
        </r>
      </text>
    </comment>
    <comment ref="C40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h0</t>
        </r>
      </text>
    </comment>
    <comment ref="D40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φ1</t>
        </r>
      </text>
    </comment>
    <comment ref="E40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φ2</t>
        </r>
      </text>
    </comment>
    <comment ref="F40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φ3</t>
        </r>
      </text>
    </comment>
    <comment ref="G40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φ4</t>
        </r>
      </text>
    </comment>
    <comment ref="H40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φ5</t>
        </r>
      </text>
    </comment>
    <comment ref="I40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φ6</t>
        </r>
      </text>
    </comment>
    <comment ref="J40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φ7</t>
        </r>
      </text>
    </comment>
    <comment ref="C43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Полная  энтальпия вещества</t>
        </r>
      </text>
    </comment>
    <comment ref="G43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B44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ΔfH298</t>
        </r>
      </text>
    </comment>
    <comment ref="C44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Энтальпия отсчета</t>
        </r>
      </text>
    </comment>
    <comment ref="AK44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Расширенное уравнение Майера-Келли</t>
        </r>
      </text>
    </comment>
    <comment ref="B45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Энтальпия нагревания от 0 до 298,15К (δH)</t>
        </r>
      </text>
    </comment>
    <comment ref="C45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h0</t>
        </r>
      </text>
    </comment>
    <comment ref="D45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φ1</t>
        </r>
      </text>
    </comment>
    <comment ref="E45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φ2</t>
        </r>
      </text>
    </comment>
    <comment ref="F45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φ3</t>
        </r>
      </text>
    </comment>
    <comment ref="G45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φ4</t>
        </r>
      </text>
    </comment>
    <comment ref="H45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φ5</t>
        </r>
      </text>
    </comment>
    <comment ref="I45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φ6</t>
        </r>
      </text>
    </comment>
    <comment ref="J45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φ7</t>
        </r>
      </text>
    </comment>
    <comment ref="AI45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Полная  энтальпия вещества</t>
        </r>
      </text>
    </comment>
    <comment ref="AM45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AH46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ΔfH298</t>
        </r>
      </text>
    </comment>
    <comment ref="AI46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Энтальпия отсчета</t>
        </r>
      </text>
    </comment>
    <comment ref="K47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1"/>
            <color indexed="81"/>
            <rFont val="Arial Narrow"/>
            <family val="2"/>
            <charset val="204"/>
          </rPr>
          <t>Δ</t>
        </r>
        <r>
          <rPr>
            <sz val="11"/>
            <color indexed="81"/>
            <rFont val="Tahoma"/>
            <family val="2"/>
            <charset val="204"/>
          </rPr>
          <t>trH</t>
        </r>
      </text>
    </comment>
    <comment ref="L47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Энтропия, соответствующая энтальпии  перехода</t>
        </r>
      </text>
    </comment>
    <comment ref="AH47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Энтальпия нагревания от 0 до 298,15К (δH)</t>
        </r>
      </text>
    </comment>
    <comment ref="AI47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h0</t>
        </r>
      </text>
    </comment>
    <comment ref="AJ47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φ1</t>
        </r>
      </text>
    </comment>
    <comment ref="AK47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φ2</t>
        </r>
      </text>
    </comment>
    <comment ref="AL47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φ3</t>
        </r>
      </text>
    </comment>
    <comment ref="AM47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φ4</t>
        </r>
      </text>
    </comment>
    <comment ref="AN47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φ5</t>
        </r>
      </text>
    </comment>
    <comment ref="AO47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φ6</t>
        </r>
      </text>
    </comment>
    <comment ref="AP47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φ7</t>
        </r>
      </text>
    </comment>
    <comment ref="C51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Полная  энтальпия вещества</t>
        </r>
      </text>
    </comment>
    <comment ref="G51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B52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ΔfH298</t>
        </r>
      </text>
    </comment>
    <comment ref="C52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Энтальпия отсчета</t>
        </r>
      </text>
    </comment>
    <comment ref="B53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Энтальпия нагревания от 0 до 298,15К (δH)</t>
        </r>
      </text>
    </comment>
    <comment ref="C53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h0</t>
        </r>
      </text>
    </comment>
    <comment ref="D53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φ1</t>
        </r>
      </text>
    </comment>
    <comment ref="E53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φ2</t>
        </r>
      </text>
    </comment>
    <comment ref="F53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φ3</t>
        </r>
      </text>
    </comment>
    <comment ref="G53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φ4</t>
        </r>
      </text>
    </comment>
    <comment ref="H53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φ5</t>
        </r>
      </text>
    </comment>
    <comment ref="I53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φ6</t>
        </r>
      </text>
    </comment>
    <comment ref="J53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φ7</t>
        </r>
      </text>
    </comment>
    <comment ref="C56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Полная  энтальпия вещества</t>
        </r>
      </text>
    </comment>
    <comment ref="G56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B57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ΔfH298</t>
        </r>
      </text>
    </comment>
    <comment ref="C57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Энтальпия отсчета</t>
        </r>
      </text>
    </comment>
    <comment ref="B58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Энтальпия нагревания от 0 до 298,15К (δH)</t>
        </r>
      </text>
    </comment>
    <comment ref="C58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h0</t>
        </r>
      </text>
    </comment>
    <comment ref="D58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φ1</t>
        </r>
      </text>
    </comment>
    <comment ref="E58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φ2</t>
        </r>
      </text>
    </comment>
    <comment ref="F58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φ3</t>
        </r>
      </text>
    </comment>
    <comment ref="G58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φ4</t>
        </r>
      </text>
    </comment>
    <comment ref="H58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φ5</t>
        </r>
      </text>
    </comment>
    <comment ref="I58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φ6</t>
        </r>
      </text>
    </comment>
    <comment ref="J58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φ7</t>
        </r>
      </text>
    </comment>
    <comment ref="C61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Полная  энтальпия вещества</t>
        </r>
      </text>
    </comment>
    <comment ref="G61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B62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ΔfH298</t>
        </r>
      </text>
    </comment>
    <comment ref="C62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Энтальпия отсчета</t>
        </r>
      </text>
    </comment>
    <comment ref="B63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Энтальпия нагревания от 0 до 298,15К (δH)</t>
        </r>
      </text>
    </comment>
    <comment ref="C63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h0</t>
        </r>
      </text>
    </comment>
    <comment ref="D63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φ1</t>
        </r>
      </text>
    </comment>
    <comment ref="E63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φ2</t>
        </r>
      </text>
    </comment>
    <comment ref="F63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φ3</t>
        </r>
      </text>
    </comment>
    <comment ref="G63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φ4</t>
        </r>
      </text>
    </comment>
    <comment ref="H63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φ5</t>
        </r>
      </text>
    </comment>
    <comment ref="I63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φ6</t>
        </r>
      </text>
    </comment>
    <comment ref="J63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φ7</t>
        </r>
      </text>
    </comment>
    <comment ref="K65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1"/>
            <color indexed="81"/>
            <rFont val="Arial Narrow"/>
            <family val="2"/>
            <charset val="204"/>
          </rPr>
          <t>Δ</t>
        </r>
        <r>
          <rPr>
            <sz val="11"/>
            <color indexed="81"/>
            <rFont val="Tahoma"/>
            <family val="2"/>
            <charset val="204"/>
          </rPr>
          <t>trH</t>
        </r>
      </text>
    </comment>
    <comment ref="L65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Энтропия, соответствующая энтальпии  перехода</t>
        </r>
      </text>
    </comment>
    <comment ref="C69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Полная  энтальпия вещества</t>
        </r>
      </text>
    </comment>
    <comment ref="G69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B70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ΔfH298</t>
        </r>
      </text>
    </comment>
    <comment ref="C70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Энтальпия отсчета</t>
        </r>
      </text>
    </comment>
    <comment ref="B71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Энтальпия нагревания от 0 до 298,15К (δH)</t>
        </r>
      </text>
    </comment>
    <comment ref="C71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h0</t>
        </r>
      </text>
    </comment>
    <comment ref="D71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φ1</t>
        </r>
      </text>
    </comment>
    <comment ref="E71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φ2</t>
        </r>
      </text>
    </comment>
    <comment ref="F71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φ3</t>
        </r>
      </text>
    </comment>
    <comment ref="G71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φ4</t>
        </r>
      </text>
    </comment>
    <comment ref="H71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φ5</t>
        </r>
      </text>
    </comment>
    <comment ref="I71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φ6</t>
        </r>
      </text>
    </comment>
    <comment ref="J71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φ7</t>
        </r>
      </text>
    </comment>
    <comment ref="C74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Полная  энтальпия вещества</t>
        </r>
      </text>
    </comment>
    <comment ref="G74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B75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ΔfH298</t>
        </r>
      </text>
    </comment>
    <comment ref="C75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Энтальпия отсчета</t>
        </r>
      </text>
    </comment>
    <comment ref="B76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Энтальпия нагревания от 0 до 298,15К (δH)</t>
        </r>
      </text>
    </comment>
    <comment ref="C76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h0</t>
        </r>
      </text>
    </comment>
    <comment ref="D76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φ1</t>
        </r>
      </text>
    </comment>
    <comment ref="E76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φ2</t>
        </r>
      </text>
    </comment>
    <comment ref="F76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φ3</t>
        </r>
      </text>
    </comment>
    <comment ref="G76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φ4</t>
        </r>
      </text>
    </comment>
    <comment ref="H76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φ5</t>
        </r>
      </text>
    </comment>
    <comment ref="I76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φ6</t>
        </r>
      </text>
    </comment>
    <comment ref="J76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φ7</t>
        </r>
      </text>
    </comment>
    <comment ref="K78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1"/>
            <color indexed="81"/>
            <rFont val="Arial Narrow"/>
            <family val="2"/>
            <charset val="204"/>
          </rPr>
          <t>Δ</t>
        </r>
        <r>
          <rPr>
            <sz val="11"/>
            <color indexed="81"/>
            <rFont val="Tahoma"/>
            <family val="2"/>
            <charset val="204"/>
          </rPr>
          <t>trH</t>
        </r>
      </text>
    </comment>
    <comment ref="L78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Энтропия, соответствующая энтальпии  перехода</t>
        </r>
      </text>
    </comment>
    <comment ref="C83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Полная  энтальпия вещества</t>
        </r>
      </text>
    </comment>
    <comment ref="G83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B84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ΔfH298</t>
        </r>
      </text>
    </comment>
    <comment ref="C84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Энтальпия отсчета</t>
        </r>
      </text>
    </comment>
    <comment ref="B85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Энтальпия нагревания от 0 до 298,15К (δH)</t>
        </r>
      </text>
    </comment>
    <comment ref="C85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h0</t>
        </r>
      </text>
    </comment>
    <comment ref="D85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φ1</t>
        </r>
      </text>
    </comment>
    <comment ref="E85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φ2</t>
        </r>
      </text>
    </comment>
    <comment ref="F85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φ3</t>
        </r>
      </text>
    </comment>
    <comment ref="G85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φ4</t>
        </r>
      </text>
    </comment>
    <comment ref="H85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φ5</t>
        </r>
      </text>
    </comment>
    <comment ref="I85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φ6</t>
        </r>
      </text>
    </comment>
    <comment ref="J85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φ7</t>
        </r>
      </text>
    </comment>
    <comment ref="C88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Полная  энтальпия вещества</t>
        </r>
      </text>
    </comment>
    <comment ref="G88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B89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ΔfH298</t>
        </r>
      </text>
    </comment>
    <comment ref="C89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Энтальпия отсчета</t>
        </r>
      </text>
    </comment>
    <comment ref="B90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Энтальпия нагревания от 0 до 298,15К (δH)</t>
        </r>
      </text>
    </comment>
    <comment ref="C90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h0</t>
        </r>
      </text>
    </comment>
    <comment ref="D90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φ1</t>
        </r>
      </text>
    </comment>
    <comment ref="E90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φ2</t>
        </r>
      </text>
    </comment>
    <comment ref="F90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φ3</t>
        </r>
      </text>
    </comment>
    <comment ref="G90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φ4</t>
        </r>
      </text>
    </comment>
    <comment ref="H90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φ5</t>
        </r>
      </text>
    </comment>
    <comment ref="I90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φ6</t>
        </r>
      </text>
    </comment>
    <comment ref="J90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φ7</t>
        </r>
      </text>
    </comment>
    <comment ref="C93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Полная  энтальпия вещества</t>
        </r>
      </text>
    </comment>
    <comment ref="G93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B94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ΔfH298</t>
        </r>
      </text>
    </comment>
    <comment ref="C94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Энтальпия отсчета</t>
        </r>
      </text>
    </comment>
    <comment ref="B95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Энтальпия нагревания от 0 до 298,15К (δH)</t>
        </r>
      </text>
    </comment>
    <comment ref="C95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h0</t>
        </r>
      </text>
    </comment>
    <comment ref="D95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φ1</t>
        </r>
      </text>
    </comment>
    <comment ref="E95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φ2</t>
        </r>
      </text>
    </comment>
    <comment ref="F95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φ3</t>
        </r>
      </text>
    </comment>
    <comment ref="G95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φ4</t>
        </r>
      </text>
    </comment>
    <comment ref="H95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φ5</t>
        </r>
      </text>
    </comment>
    <comment ref="I95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φ6</t>
        </r>
      </text>
    </comment>
    <comment ref="J95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φ7</t>
        </r>
      </text>
    </comment>
    <comment ref="C98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Полная  энтальпия вещества</t>
        </r>
      </text>
    </comment>
    <comment ref="G98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B99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ΔfH298</t>
        </r>
      </text>
    </comment>
    <comment ref="C99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Энтальпия отсчета</t>
        </r>
      </text>
    </comment>
    <comment ref="B100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Энтальпия нагревания от 0 до 298,15К (δH)</t>
        </r>
      </text>
    </comment>
    <comment ref="C100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h0</t>
        </r>
      </text>
    </comment>
    <comment ref="D100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φ1</t>
        </r>
      </text>
    </comment>
    <comment ref="E100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φ2</t>
        </r>
      </text>
    </comment>
    <comment ref="F100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φ3</t>
        </r>
      </text>
    </comment>
    <comment ref="G100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φ4</t>
        </r>
      </text>
    </comment>
    <comment ref="H100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φ5</t>
        </r>
      </text>
    </comment>
    <comment ref="I100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φ6</t>
        </r>
      </text>
    </comment>
    <comment ref="J100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φ7</t>
        </r>
      </text>
    </comment>
    <comment ref="K102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1"/>
            <color indexed="81"/>
            <rFont val="Arial Narrow"/>
            <family val="2"/>
            <charset val="204"/>
          </rPr>
          <t>Δ</t>
        </r>
        <r>
          <rPr>
            <sz val="11"/>
            <color indexed="81"/>
            <rFont val="Tahoma"/>
            <family val="2"/>
            <charset val="204"/>
          </rPr>
          <t>trH</t>
        </r>
      </text>
    </comment>
    <comment ref="L102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Энтропия, соответствующая энтальпии  перехода</t>
        </r>
      </text>
    </comment>
    <comment ref="C105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Полная  энтальпия вещества</t>
        </r>
      </text>
    </comment>
    <comment ref="G105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B106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ΔfH298</t>
        </r>
      </text>
    </comment>
    <comment ref="C106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Энтальпия отсчета</t>
        </r>
      </text>
    </comment>
    <comment ref="B107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Энтальпия нагревания от 0 до 298,15К (δH)</t>
        </r>
      </text>
    </comment>
    <comment ref="C107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h0</t>
        </r>
      </text>
    </comment>
    <comment ref="D107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φ1</t>
        </r>
      </text>
    </comment>
    <comment ref="E107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φ2</t>
        </r>
      </text>
    </comment>
    <comment ref="F107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φ3</t>
        </r>
      </text>
    </comment>
    <comment ref="G107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φ4</t>
        </r>
      </text>
    </comment>
    <comment ref="H107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φ5</t>
        </r>
      </text>
    </comment>
    <comment ref="I107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φ6</t>
        </r>
      </text>
    </comment>
    <comment ref="J107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φ7</t>
        </r>
      </text>
    </comment>
    <comment ref="C110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Полная  энтальпия вещества</t>
        </r>
      </text>
    </comment>
    <comment ref="G110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B111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ΔfH298</t>
        </r>
      </text>
    </comment>
    <comment ref="C111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Энтальпия отсчета</t>
        </r>
      </text>
    </comment>
    <comment ref="B112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Энтальпия нагревания от 0 до 298,15К (δH)</t>
        </r>
      </text>
    </comment>
    <comment ref="C112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h0</t>
        </r>
      </text>
    </comment>
    <comment ref="D112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φ1</t>
        </r>
      </text>
    </comment>
    <comment ref="E112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φ2</t>
        </r>
      </text>
    </comment>
    <comment ref="F112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φ3</t>
        </r>
      </text>
    </comment>
    <comment ref="G112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φ4</t>
        </r>
      </text>
    </comment>
    <comment ref="H112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φ5</t>
        </r>
      </text>
    </comment>
    <comment ref="I112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φ6</t>
        </r>
      </text>
    </comment>
    <comment ref="J112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φ7</t>
        </r>
      </text>
    </comment>
    <comment ref="K114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1"/>
            <color indexed="81"/>
            <rFont val="Arial Narrow"/>
            <family val="2"/>
            <charset val="204"/>
          </rPr>
          <t>Δ</t>
        </r>
        <r>
          <rPr>
            <sz val="11"/>
            <color indexed="81"/>
            <rFont val="Tahoma"/>
            <family val="2"/>
            <charset val="204"/>
          </rPr>
          <t>trH</t>
        </r>
      </text>
    </comment>
    <comment ref="L114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Энтропия, соответствующая энтальпии  перехода</t>
        </r>
      </text>
    </comment>
    <comment ref="C117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Полная  энтальпия вещества</t>
        </r>
      </text>
    </comment>
    <comment ref="G117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B118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ΔfH298</t>
        </r>
      </text>
    </comment>
    <comment ref="C118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Энтальпия отсчета</t>
        </r>
      </text>
    </comment>
    <comment ref="B119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Энтальпия нагревания от 0 до 298,15К (δH)</t>
        </r>
      </text>
    </comment>
    <comment ref="C119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h0</t>
        </r>
      </text>
    </comment>
    <comment ref="D119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φ1</t>
        </r>
      </text>
    </comment>
    <comment ref="E119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φ2</t>
        </r>
      </text>
    </comment>
    <comment ref="F119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φ3</t>
        </r>
      </text>
    </comment>
    <comment ref="G119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φ4</t>
        </r>
      </text>
    </comment>
    <comment ref="H119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φ5</t>
        </r>
      </text>
    </comment>
    <comment ref="I119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φ6</t>
        </r>
      </text>
    </comment>
    <comment ref="J119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φ7</t>
        </r>
      </text>
    </comment>
    <comment ref="C122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Полная  энтальпия вещества</t>
        </r>
      </text>
    </comment>
    <comment ref="G122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B123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ΔfH298</t>
        </r>
      </text>
    </comment>
    <comment ref="C123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Энтальпия отсчета</t>
        </r>
      </text>
    </comment>
    <comment ref="B124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Энтальпия нагревания от 0 до 298,15К (δH)</t>
        </r>
      </text>
    </comment>
    <comment ref="C124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h0</t>
        </r>
      </text>
    </comment>
    <comment ref="D124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φ1</t>
        </r>
      </text>
    </comment>
    <comment ref="E124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φ2</t>
        </r>
      </text>
    </comment>
    <comment ref="F124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φ3</t>
        </r>
      </text>
    </comment>
    <comment ref="G124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φ4</t>
        </r>
      </text>
    </comment>
    <comment ref="H124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φ5</t>
        </r>
      </text>
    </comment>
    <comment ref="I124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φ6</t>
        </r>
      </text>
    </comment>
    <comment ref="J124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φ7</t>
        </r>
      </text>
    </comment>
    <comment ref="K126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1"/>
            <color indexed="81"/>
            <rFont val="Arial Narrow"/>
            <family val="2"/>
            <charset val="204"/>
          </rPr>
          <t>Δ</t>
        </r>
        <r>
          <rPr>
            <sz val="11"/>
            <color indexed="81"/>
            <rFont val="Tahoma"/>
            <family val="2"/>
            <charset val="204"/>
          </rPr>
          <t>trH</t>
        </r>
      </text>
    </comment>
    <comment ref="L126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Энтропия, соответствующая энтальпии  перехода</t>
        </r>
      </text>
    </comment>
    <comment ref="C129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Полная  энтальпия вещества</t>
        </r>
      </text>
    </comment>
    <comment ref="G129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B130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ΔfH298</t>
        </r>
      </text>
    </comment>
    <comment ref="C130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Энтальпия отсчета</t>
        </r>
      </text>
    </comment>
    <comment ref="B131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Энтальпия нагревания от 0 до 298,15К (δH)</t>
        </r>
      </text>
    </comment>
    <comment ref="C131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h0</t>
        </r>
      </text>
    </comment>
    <comment ref="D131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φ1</t>
        </r>
      </text>
    </comment>
    <comment ref="E131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φ2</t>
        </r>
      </text>
    </comment>
    <comment ref="F131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φ3</t>
        </r>
      </text>
    </comment>
    <comment ref="G131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φ4</t>
        </r>
      </text>
    </comment>
    <comment ref="H131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φ5</t>
        </r>
      </text>
    </comment>
    <comment ref="I131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φ6</t>
        </r>
      </text>
    </comment>
    <comment ref="J131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φ7</t>
        </r>
      </text>
    </comment>
    <comment ref="C134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Полная  энтальпия вещества</t>
        </r>
      </text>
    </comment>
    <comment ref="G134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B135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ΔfH298</t>
        </r>
      </text>
    </comment>
    <comment ref="C135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Энтальпия отсчета</t>
        </r>
      </text>
    </comment>
    <comment ref="B136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Энтальпия нагревания от 0 до 298,15К (δH)</t>
        </r>
      </text>
    </comment>
    <comment ref="C136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h0</t>
        </r>
      </text>
    </comment>
    <comment ref="D136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φ1</t>
        </r>
      </text>
    </comment>
    <comment ref="E136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φ2</t>
        </r>
      </text>
    </comment>
    <comment ref="F136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φ3</t>
        </r>
      </text>
    </comment>
    <comment ref="G136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φ4</t>
        </r>
      </text>
    </comment>
    <comment ref="H136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φ5</t>
        </r>
      </text>
    </comment>
    <comment ref="I136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φ6</t>
        </r>
      </text>
    </comment>
    <comment ref="J136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φ7</t>
        </r>
      </text>
    </comment>
    <comment ref="K138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1"/>
            <color indexed="81"/>
            <rFont val="Arial Narrow"/>
            <family val="2"/>
            <charset val="204"/>
          </rPr>
          <t>Δ</t>
        </r>
        <r>
          <rPr>
            <sz val="11"/>
            <color indexed="81"/>
            <rFont val="Tahoma"/>
            <family val="2"/>
            <charset val="204"/>
          </rPr>
          <t>trH</t>
        </r>
      </text>
    </comment>
    <comment ref="L138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Энтропия, соответствующая энтальпии  перехода</t>
        </r>
      </text>
    </comment>
    <comment ref="C141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Полная  энтальпия вещества</t>
        </r>
      </text>
    </comment>
    <comment ref="G141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B142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ΔfH298</t>
        </r>
      </text>
    </comment>
    <comment ref="C142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Энтальпия отсчета</t>
        </r>
      </text>
    </comment>
    <comment ref="B143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Энтальпия нагревания от 0 до 298,15К (δH)</t>
        </r>
      </text>
    </comment>
    <comment ref="C143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h0</t>
        </r>
      </text>
    </comment>
    <comment ref="D143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φ1</t>
        </r>
      </text>
    </comment>
    <comment ref="E143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φ2</t>
        </r>
      </text>
    </comment>
    <comment ref="F143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φ3</t>
        </r>
      </text>
    </comment>
    <comment ref="G143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φ4</t>
        </r>
      </text>
    </comment>
    <comment ref="H143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φ5</t>
        </r>
      </text>
    </comment>
    <comment ref="I143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φ6</t>
        </r>
      </text>
    </comment>
    <comment ref="J143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φ7</t>
        </r>
      </text>
    </comment>
    <comment ref="C146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Полная  энтальпия вещества</t>
        </r>
      </text>
    </comment>
    <comment ref="G146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B147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ΔfH298</t>
        </r>
      </text>
    </comment>
    <comment ref="C147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Энтальпия отсчета</t>
        </r>
      </text>
    </comment>
    <comment ref="B148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Энтальпия нагревания от 0 до 298,15К (δH)</t>
        </r>
      </text>
    </comment>
    <comment ref="C148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h0</t>
        </r>
      </text>
    </comment>
    <comment ref="D148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φ1</t>
        </r>
      </text>
    </comment>
    <comment ref="E148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φ2</t>
        </r>
      </text>
    </comment>
    <comment ref="F148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φ3</t>
        </r>
      </text>
    </comment>
    <comment ref="G148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φ4</t>
        </r>
      </text>
    </comment>
    <comment ref="H148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φ5</t>
        </r>
      </text>
    </comment>
    <comment ref="I148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φ6</t>
        </r>
      </text>
    </comment>
    <comment ref="J148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φ7</t>
        </r>
      </text>
    </comment>
    <comment ref="K150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1"/>
            <color indexed="81"/>
            <rFont val="Arial Narrow"/>
            <family val="2"/>
            <charset val="204"/>
          </rPr>
          <t>Δ</t>
        </r>
        <r>
          <rPr>
            <sz val="11"/>
            <color indexed="81"/>
            <rFont val="Tahoma"/>
            <family val="2"/>
            <charset val="204"/>
          </rPr>
          <t>trH</t>
        </r>
      </text>
    </comment>
    <comment ref="L150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Энтропия, соответствующая энтальпии  перехода</t>
        </r>
      </text>
    </comment>
    <comment ref="K153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1"/>
            <color indexed="81"/>
            <rFont val="Arial Narrow"/>
            <family val="2"/>
            <charset val="204"/>
          </rPr>
          <t>Δ</t>
        </r>
        <r>
          <rPr>
            <sz val="11"/>
            <color indexed="81"/>
            <rFont val="Tahoma"/>
            <family val="2"/>
            <charset val="204"/>
          </rPr>
          <t>trH</t>
        </r>
      </text>
    </comment>
    <comment ref="L153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Энтропия, соответствующая энтальпии  перехода</t>
        </r>
      </text>
    </comment>
    <comment ref="C156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Полная  энтальпия вещества</t>
        </r>
      </text>
    </comment>
    <comment ref="G156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B157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ΔfH298</t>
        </r>
      </text>
    </comment>
    <comment ref="C157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Энтальпия отсчета</t>
        </r>
      </text>
    </comment>
    <comment ref="B158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Энтальпия нагревания от 0 до 298,15К (δH)</t>
        </r>
      </text>
    </comment>
    <comment ref="C158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h0</t>
        </r>
      </text>
    </comment>
    <comment ref="D158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φ1</t>
        </r>
      </text>
    </comment>
    <comment ref="E158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φ2</t>
        </r>
      </text>
    </comment>
    <comment ref="F158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φ3</t>
        </r>
      </text>
    </comment>
    <comment ref="G158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φ4</t>
        </r>
      </text>
    </comment>
    <comment ref="H158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φ5</t>
        </r>
      </text>
    </comment>
    <comment ref="I158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φ6</t>
        </r>
      </text>
    </comment>
    <comment ref="J158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φ7</t>
        </r>
      </text>
    </comment>
    <comment ref="C161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Полная  энтальпия вещества</t>
        </r>
      </text>
    </comment>
    <comment ref="G161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B162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ΔfH298</t>
        </r>
      </text>
    </comment>
    <comment ref="C162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Энтальпия отсчета</t>
        </r>
      </text>
    </comment>
    <comment ref="B163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Энтальпия нагревания от 0 до 298,15К (δH)</t>
        </r>
      </text>
    </comment>
    <comment ref="C163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h0</t>
        </r>
      </text>
    </comment>
    <comment ref="D163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φ1</t>
        </r>
      </text>
    </comment>
    <comment ref="E163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φ2</t>
        </r>
      </text>
    </comment>
    <comment ref="F163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φ3</t>
        </r>
      </text>
    </comment>
    <comment ref="G163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φ4</t>
        </r>
      </text>
    </comment>
    <comment ref="H163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φ5</t>
        </r>
      </text>
    </comment>
    <comment ref="I163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φ6</t>
        </r>
      </text>
    </comment>
    <comment ref="J163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φ7</t>
        </r>
      </text>
    </comment>
    <comment ref="K165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1"/>
            <color indexed="81"/>
            <rFont val="Arial Narrow"/>
            <family val="2"/>
            <charset val="204"/>
          </rPr>
          <t>Δ</t>
        </r>
        <r>
          <rPr>
            <sz val="11"/>
            <color indexed="81"/>
            <rFont val="Tahoma"/>
            <family val="2"/>
            <charset val="204"/>
          </rPr>
          <t>trH</t>
        </r>
      </text>
    </comment>
    <comment ref="L165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Энтропия, соответствующая энтальпии  перехода</t>
        </r>
      </text>
    </comment>
    <comment ref="K168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1"/>
            <color indexed="81"/>
            <rFont val="Arial Narrow"/>
            <family val="2"/>
            <charset val="204"/>
          </rPr>
          <t>Δ</t>
        </r>
        <r>
          <rPr>
            <sz val="11"/>
            <color indexed="81"/>
            <rFont val="Tahoma"/>
            <family val="2"/>
            <charset val="204"/>
          </rPr>
          <t>trH</t>
        </r>
      </text>
    </comment>
    <comment ref="L168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Энтропия, соответствующая энтальпии  перехода</t>
        </r>
      </text>
    </comment>
    <comment ref="C171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Полная  энтальпия вещества</t>
        </r>
      </text>
    </comment>
    <comment ref="G171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B172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ΔfH298</t>
        </r>
      </text>
    </comment>
    <comment ref="C172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Энтальпия отсчета</t>
        </r>
      </text>
    </comment>
    <comment ref="B173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Энтальпия нагревания от 0 до 298,15К (δH)</t>
        </r>
      </text>
    </comment>
    <comment ref="C173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h0</t>
        </r>
      </text>
    </comment>
    <comment ref="D173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φ1</t>
        </r>
      </text>
    </comment>
    <comment ref="E173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φ2</t>
        </r>
      </text>
    </comment>
    <comment ref="F173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φ3</t>
        </r>
      </text>
    </comment>
    <comment ref="G173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φ4</t>
        </r>
      </text>
    </comment>
    <comment ref="H173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φ5</t>
        </r>
      </text>
    </comment>
    <comment ref="I173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φ6</t>
        </r>
      </text>
    </comment>
    <comment ref="J173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φ7</t>
        </r>
      </text>
    </comment>
    <comment ref="C176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Полная  энтальпия вещества</t>
        </r>
      </text>
    </comment>
    <comment ref="G176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B177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ΔfH298</t>
        </r>
      </text>
    </comment>
    <comment ref="C177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Энтальпия отсчета</t>
        </r>
      </text>
    </comment>
    <comment ref="B178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Энтальпия нагревания от 0 до 298,15К (δH)</t>
        </r>
      </text>
    </comment>
    <comment ref="C178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h0</t>
        </r>
      </text>
    </comment>
    <comment ref="D178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φ1</t>
        </r>
      </text>
    </comment>
    <comment ref="E178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φ2</t>
        </r>
      </text>
    </comment>
    <comment ref="F178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φ3</t>
        </r>
      </text>
    </comment>
    <comment ref="G178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φ4</t>
        </r>
      </text>
    </comment>
    <comment ref="H178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φ5</t>
        </r>
      </text>
    </comment>
    <comment ref="I178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φ6</t>
        </r>
      </text>
    </comment>
    <comment ref="J178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φ7</t>
        </r>
      </text>
    </comment>
    <comment ref="K180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1"/>
            <color indexed="81"/>
            <rFont val="Arial Narrow"/>
            <family val="2"/>
            <charset val="204"/>
          </rPr>
          <t>Δ</t>
        </r>
        <r>
          <rPr>
            <sz val="11"/>
            <color indexed="81"/>
            <rFont val="Tahoma"/>
            <family val="2"/>
            <charset val="204"/>
          </rPr>
          <t>trH</t>
        </r>
      </text>
    </comment>
    <comment ref="L180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Энтропия, соответствующая энтальпии  перехода</t>
        </r>
      </text>
    </comment>
    <comment ref="K183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1"/>
            <color indexed="81"/>
            <rFont val="Arial Narrow"/>
            <family val="2"/>
            <charset val="204"/>
          </rPr>
          <t>Δ</t>
        </r>
        <r>
          <rPr>
            <sz val="11"/>
            <color indexed="81"/>
            <rFont val="Tahoma"/>
            <family val="2"/>
            <charset val="204"/>
          </rPr>
          <t>trH</t>
        </r>
      </text>
    </comment>
    <comment ref="L183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Энтропия, соответствующая энтальпии  перехода</t>
        </r>
      </text>
    </comment>
    <comment ref="C186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Полная  энтальпия вещества</t>
        </r>
      </text>
    </comment>
    <comment ref="G186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B187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ΔfH298</t>
        </r>
      </text>
    </comment>
    <comment ref="C187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Энтальпия отсчета</t>
        </r>
      </text>
    </comment>
    <comment ref="B188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Энтальпия нагревания от 0 до 298,15К (δH)</t>
        </r>
      </text>
    </comment>
    <comment ref="C188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h0</t>
        </r>
      </text>
    </comment>
    <comment ref="D188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φ1</t>
        </r>
      </text>
    </comment>
    <comment ref="E188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φ2</t>
        </r>
      </text>
    </comment>
    <comment ref="F188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φ3</t>
        </r>
      </text>
    </comment>
    <comment ref="G188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φ4</t>
        </r>
      </text>
    </comment>
    <comment ref="H188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φ5</t>
        </r>
      </text>
    </comment>
    <comment ref="I188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φ6</t>
        </r>
      </text>
    </comment>
    <comment ref="J188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φ7</t>
        </r>
      </text>
    </comment>
    <comment ref="C191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Полная  энтальпия вещества</t>
        </r>
      </text>
    </comment>
    <comment ref="G191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B192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ΔfH298</t>
        </r>
      </text>
    </comment>
    <comment ref="C192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Энтальпия отсчета</t>
        </r>
      </text>
    </comment>
    <comment ref="B193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Энтальпия нагревания от 0 до 298,15К (δH)</t>
        </r>
      </text>
    </comment>
    <comment ref="C193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h0</t>
        </r>
      </text>
    </comment>
    <comment ref="D193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φ1</t>
        </r>
      </text>
    </comment>
    <comment ref="E193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φ2</t>
        </r>
      </text>
    </comment>
    <comment ref="F193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φ3</t>
        </r>
      </text>
    </comment>
    <comment ref="G193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φ4</t>
        </r>
      </text>
    </comment>
    <comment ref="H193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φ5</t>
        </r>
      </text>
    </comment>
    <comment ref="I193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φ6</t>
        </r>
      </text>
    </comment>
    <comment ref="J193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φ7</t>
        </r>
      </text>
    </comment>
    <comment ref="K195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1"/>
            <color indexed="81"/>
            <rFont val="Arial Narrow"/>
            <family val="2"/>
            <charset val="204"/>
          </rPr>
          <t>Δ</t>
        </r>
        <r>
          <rPr>
            <sz val="11"/>
            <color indexed="81"/>
            <rFont val="Tahoma"/>
            <family val="2"/>
            <charset val="204"/>
          </rPr>
          <t>trH</t>
        </r>
      </text>
    </comment>
    <comment ref="L195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Энтропия, соответствующая энтальпии  перехода</t>
        </r>
      </text>
    </comment>
    <comment ref="C198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Полная  энтальпия вещества</t>
        </r>
      </text>
    </comment>
    <comment ref="G198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B199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ΔfH298</t>
        </r>
      </text>
    </comment>
    <comment ref="C199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Энтальпия отсчета</t>
        </r>
      </text>
    </comment>
    <comment ref="B200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Энтальпия нагревания от 0 до 298,15К (δH)</t>
        </r>
      </text>
    </comment>
    <comment ref="C200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h0</t>
        </r>
      </text>
    </comment>
    <comment ref="D200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φ1</t>
        </r>
      </text>
    </comment>
    <comment ref="E200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φ2</t>
        </r>
      </text>
    </comment>
    <comment ref="F200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φ3</t>
        </r>
      </text>
    </comment>
    <comment ref="G200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φ4</t>
        </r>
      </text>
    </comment>
    <comment ref="H200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φ5</t>
        </r>
      </text>
    </comment>
    <comment ref="I200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φ6</t>
        </r>
      </text>
    </comment>
    <comment ref="J200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φ7</t>
        </r>
      </text>
    </comment>
    <comment ref="C203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Полная  энтальпия вещества</t>
        </r>
      </text>
    </comment>
    <comment ref="G203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B204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ΔfH298</t>
        </r>
      </text>
    </comment>
    <comment ref="C204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Энтальпия отсчета</t>
        </r>
      </text>
    </comment>
    <comment ref="B205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Энтальпия нагревания от 0 до 298,15К (δH)</t>
        </r>
      </text>
    </comment>
    <comment ref="C205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h0</t>
        </r>
      </text>
    </comment>
    <comment ref="D205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φ1</t>
        </r>
      </text>
    </comment>
    <comment ref="E205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φ2</t>
        </r>
      </text>
    </comment>
    <comment ref="F205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φ3</t>
        </r>
      </text>
    </comment>
    <comment ref="G205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φ4</t>
        </r>
      </text>
    </comment>
    <comment ref="H205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φ5</t>
        </r>
      </text>
    </comment>
    <comment ref="I205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φ6</t>
        </r>
      </text>
    </comment>
    <comment ref="J205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φ7</t>
        </r>
      </text>
    </comment>
    <comment ref="K207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1"/>
            <color indexed="81"/>
            <rFont val="Arial Narrow"/>
            <family val="2"/>
            <charset val="204"/>
          </rPr>
          <t>Δ</t>
        </r>
        <r>
          <rPr>
            <sz val="11"/>
            <color indexed="81"/>
            <rFont val="Tahoma"/>
            <family val="2"/>
            <charset val="204"/>
          </rPr>
          <t>trH</t>
        </r>
      </text>
    </comment>
    <comment ref="L207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Энтропия, соответствующая энтальпии  перехода</t>
        </r>
      </text>
    </comment>
    <comment ref="K210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1"/>
            <color indexed="81"/>
            <rFont val="Arial Narrow"/>
            <family val="2"/>
            <charset val="204"/>
          </rPr>
          <t>Δ</t>
        </r>
        <r>
          <rPr>
            <sz val="11"/>
            <color indexed="81"/>
            <rFont val="Tahoma"/>
            <family val="2"/>
            <charset val="204"/>
          </rPr>
          <t>trH</t>
        </r>
      </text>
    </comment>
    <comment ref="L210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Энтропия, соответствующая энтальпии  перехода</t>
        </r>
      </text>
    </comment>
    <comment ref="C213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Полная  энтальпия вещества</t>
        </r>
      </text>
    </comment>
    <comment ref="G213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B214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ΔfH298</t>
        </r>
      </text>
    </comment>
    <comment ref="C214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Энтальпия отсчета</t>
        </r>
      </text>
    </comment>
    <comment ref="B215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Энтальпия нагревания от 0 до 298,15К (δH)</t>
        </r>
      </text>
    </comment>
    <comment ref="C215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h0</t>
        </r>
      </text>
    </comment>
    <comment ref="D215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φ1</t>
        </r>
      </text>
    </comment>
    <comment ref="E215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φ2</t>
        </r>
      </text>
    </comment>
    <comment ref="F215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φ3</t>
        </r>
      </text>
    </comment>
    <comment ref="G215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φ4</t>
        </r>
      </text>
    </comment>
    <comment ref="H215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φ5</t>
        </r>
      </text>
    </comment>
    <comment ref="I215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φ6</t>
        </r>
      </text>
    </comment>
    <comment ref="J215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φ7</t>
        </r>
      </text>
    </comment>
    <comment ref="C218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Полная  энтальпия вещества</t>
        </r>
      </text>
    </comment>
    <comment ref="G218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B219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ΔfH298</t>
        </r>
      </text>
    </comment>
    <comment ref="C219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Энтальпия отсчета</t>
        </r>
      </text>
    </comment>
    <comment ref="B220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Энтальпия нагревания от 0 до 298,15К (δH)</t>
        </r>
      </text>
    </comment>
    <comment ref="C220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h0</t>
        </r>
      </text>
    </comment>
    <comment ref="D220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φ1</t>
        </r>
      </text>
    </comment>
    <comment ref="E220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φ2</t>
        </r>
      </text>
    </comment>
    <comment ref="F220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φ3</t>
        </r>
      </text>
    </comment>
    <comment ref="G220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φ4</t>
        </r>
      </text>
    </comment>
    <comment ref="H220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φ5</t>
        </r>
      </text>
    </comment>
    <comment ref="I220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φ6</t>
        </r>
      </text>
    </comment>
    <comment ref="J220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φ7</t>
        </r>
      </text>
    </comment>
    <comment ref="K222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1"/>
            <color indexed="81"/>
            <rFont val="Arial Narrow"/>
            <family val="2"/>
            <charset val="204"/>
          </rPr>
          <t>Δ</t>
        </r>
        <r>
          <rPr>
            <sz val="11"/>
            <color indexed="81"/>
            <rFont val="Tahoma"/>
            <family val="2"/>
            <charset val="204"/>
          </rPr>
          <t>trH</t>
        </r>
      </text>
    </comment>
    <comment ref="L222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Энтропия, соответствующая энтальпии  перехода</t>
        </r>
      </text>
    </comment>
    <comment ref="C226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Полная  энтальпия вещества</t>
        </r>
      </text>
    </comment>
    <comment ref="G226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B227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ΔfH298</t>
        </r>
      </text>
    </comment>
    <comment ref="C227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Энтальпия отсчета</t>
        </r>
      </text>
    </comment>
    <comment ref="B228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Энтальпия нагревания от 0 до 298,15К (δH)</t>
        </r>
      </text>
    </comment>
    <comment ref="C228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h0</t>
        </r>
      </text>
    </comment>
    <comment ref="D228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φ1</t>
        </r>
      </text>
    </comment>
    <comment ref="E228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φ2</t>
        </r>
      </text>
    </comment>
    <comment ref="F228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φ3</t>
        </r>
      </text>
    </comment>
    <comment ref="G228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φ4</t>
        </r>
      </text>
    </comment>
    <comment ref="H228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φ5</t>
        </r>
      </text>
    </comment>
    <comment ref="I228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φ6</t>
        </r>
      </text>
    </comment>
    <comment ref="J228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φ7</t>
        </r>
      </text>
    </comment>
    <comment ref="K230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  <r>
          <rPr>
            <sz val="11"/>
            <color indexed="81"/>
            <rFont val="Arial Narrow"/>
            <family val="2"/>
            <charset val="204"/>
          </rPr>
          <t>Δ</t>
        </r>
        <r>
          <rPr>
            <sz val="11"/>
            <color indexed="81"/>
            <rFont val="Tahoma"/>
            <family val="2"/>
            <charset val="204"/>
          </rPr>
          <t>trH</t>
        </r>
      </text>
    </comment>
    <comment ref="L230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Энтропия, соответствующая энтальпии  перехода</t>
        </r>
      </text>
    </comment>
    <comment ref="C233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Полная  энтальпия вещества</t>
        </r>
      </text>
    </comment>
    <comment ref="G233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B234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ΔfH298</t>
        </r>
      </text>
    </comment>
    <comment ref="C234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Энтальпия отсчета</t>
        </r>
      </text>
    </comment>
    <comment ref="B235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Энтальпия нагревания от 0 до 298,15К (δH)</t>
        </r>
      </text>
    </comment>
    <comment ref="C235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h0</t>
        </r>
      </text>
    </comment>
    <comment ref="D235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φ1</t>
        </r>
      </text>
    </comment>
    <comment ref="E235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φ2</t>
        </r>
      </text>
    </comment>
    <comment ref="F235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φ3</t>
        </r>
      </text>
    </comment>
    <comment ref="G235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φ4</t>
        </r>
      </text>
    </comment>
    <comment ref="H235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φ5</t>
        </r>
      </text>
    </comment>
    <comment ref="I235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φ6</t>
        </r>
      </text>
    </comment>
    <comment ref="J235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φ7</t>
        </r>
      </text>
    </comment>
    <comment ref="C238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Полная  энтальпия вещества</t>
        </r>
      </text>
    </comment>
    <comment ref="G238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B239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ΔfH298</t>
        </r>
      </text>
    </comment>
    <comment ref="C239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Энтальпия отсчета</t>
        </r>
      </text>
    </comment>
    <comment ref="B240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Энтальпия нагревания от 0 до 298,15К (δH)</t>
        </r>
      </text>
    </comment>
    <comment ref="C240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h0</t>
        </r>
      </text>
    </comment>
    <comment ref="D240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φ1</t>
        </r>
      </text>
    </comment>
    <comment ref="E240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φ2</t>
        </r>
      </text>
    </comment>
    <comment ref="F240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φ3</t>
        </r>
      </text>
    </comment>
    <comment ref="G240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φ4</t>
        </r>
      </text>
    </comment>
    <comment ref="H240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φ5</t>
        </r>
      </text>
    </comment>
    <comment ref="I240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φ6</t>
        </r>
      </text>
    </comment>
    <comment ref="J240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φ7</t>
        </r>
      </text>
    </comment>
    <comment ref="E242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Расширенное уравнение Майера-Келли</t>
        </r>
      </text>
    </comment>
    <comment ref="C243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Полная  энтальпия вещества</t>
        </r>
      </text>
    </comment>
    <comment ref="G243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B244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ΔfH298</t>
        </r>
      </text>
    </comment>
    <comment ref="C244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Энтальпия отсчета</t>
        </r>
      </text>
    </comment>
    <comment ref="B245" authorId="0" shapeId="0">
      <text>
        <r>
          <rPr>
            <b/>
            <sz val="8"/>
            <color indexed="81"/>
            <rFont val="Tahoma"/>
            <family val="2"/>
            <charset val="204"/>
          </rPr>
          <t>Кутьин:</t>
        </r>
        <r>
          <rPr>
            <sz val="8"/>
            <color indexed="81"/>
            <rFont val="Tahoma"/>
            <family val="2"/>
            <charset val="204"/>
          </rPr>
          <t xml:space="preserve">
Энтальпия нагревания от 0 до 298,15К (δH)</t>
        </r>
      </text>
    </comment>
    <comment ref="C245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h0</t>
        </r>
      </text>
    </comment>
    <comment ref="D245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φ1</t>
        </r>
      </text>
    </comment>
    <comment ref="E245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φ2</t>
        </r>
      </text>
    </comment>
    <comment ref="F245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φ3</t>
        </r>
      </text>
    </comment>
    <comment ref="G245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φ4</t>
        </r>
      </text>
    </comment>
    <comment ref="H245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φ5</t>
        </r>
      </text>
    </comment>
    <comment ref="I245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φ6</t>
        </r>
      </text>
    </comment>
    <comment ref="J245" authorId="1" shapeId="0">
      <text>
        <r>
          <rPr>
            <b/>
            <sz val="9"/>
            <color indexed="81"/>
            <rFont val="Tahoma"/>
            <family val="2"/>
            <charset val="204"/>
          </rPr>
          <t>Кутьин А.М.:</t>
        </r>
        <r>
          <rPr>
            <sz val="9"/>
            <color indexed="81"/>
            <rFont val="Tahoma"/>
            <family val="2"/>
            <charset val="204"/>
          </rPr>
          <t xml:space="preserve">
φ7</t>
        </r>
      </text>
    </comment>
  </commentList>
</comments>
</file>

<file path=xl/sharedStrings.xml><?xml version="1.0" encoding="utf-8"?>
<sst xmlns="http://schemas.openxmlformats.org/spreadsheetml/2006/main" count="610" uniqueCount="197">
  <si>
    <t>x</t>
  </si>
  <si>
    <t>T</t>
  </si>
  <si>
    <t>Cp</t>
  </si>
  <si>
    <t>S</t>
  </si>
  <si>
    <t>ln(P,atm)</t>
  </si>
  <si>
    <t>M1=L*A+4D*ln10-ln(dP)</t>
  </si>
  <si>
    <t>M2=D</t>
  </si>
  <si>
    <t xml:space="preserve">M3=L*Ee-8 </t>
  </si>
  <si>
    <t>M4=L*Be-4</t>
  </si>
  <si>
    <t>M5=L*Fe+4</t>
  </si>
  <si>
    <t>M6=L*Ge+8</t>
  </si>
  <si>
    <t>M7=L*He+12</t>
  </si>
  <si>
    <t>ln(Pc,atm)</t>
  </si>
  <si>
    <t>С7H8,v</t>
  </si>
  <si>
    <t>Толуол</t>
  </si>
  <si>
    <t>a</t>
  </si>
  <si>
    <t>c 10-5</t>
  </si>
  <si>
    <t>b 10+3</t>
  </si>
  <si>
    <t>d 10+6</t>
  </si>
  <si>
    <t>e 10+9</t>
  </si>
  <si>
    <t>*Er</t>
  </si>
  <si>
    <t>*Er[liq]</t>
  </si>
  <si>
    <t>Cp   =   a</t>
  </si>
  <si>
    <t xml:space="preserve"> + b T</t>
  </si>
  <si>
    <t xml:space="preserve"> + d T^2</t>
  </si>
  <si>
    <t xml:space="preserve"> + e T^3</t>
  </si>
  <si>
    <t xml:space="preserve"> + c/T^2</t>
  </si>
  <si>
    <t>Основной шаблон</t>
  </si>
  <si>
    <t>go=ho/x-φ(x)</t>
  </si>
  <si>
    <t>*AlF3</t>
  </si>
  <si>
    <t xml:space="preserve">(Полная) энтальпия, энтропия, теплоемкость, приведенная эн Гиббса и </t>
  </si>
  <si>
    <t>энтальпия нагревания вещества в трех последовательных интервалах т-р</t>
  </si>
  <si>
    <t>S(298)</t>
  </si>
  <si>
    <t>SiCl4</t>
  </si>
  <si>
    <t>*SiCl4[liq]</t>
  </si>
  <si>
    <t>*LaOCl</t>
  </si>
  <si>
    <t>*NdOCl</t>
  </si>
  <si>
    <t>Согласование ТФ жидкости и пара (найти рукопись)</t>
  </si>
  <si>
    <t>Расчет φ коэфф по термодинамич данным</t>
  </si>
  <si>
    <t>Присоединенный</t>
  </si>
  <si>
    <t>шаблон</t>
  </si>
  <si>
    <t>в 3-х строках</t>
  </si>
  <si>
    <t xml:space="preserve">Вводимая информация для вещества в определенном темп интервале располагается в цветных ячейках. </t>
  </si>
  <si>
    <t>После проверки копируется в нижеследующие строки хранения.</t>
  </si>
  <si>
    <t>f1</t>
  </si>
  <si>
    <r>
      <t>Δ</t>
    </r>
    <r>
      <rPr>
        <sz val="9"/>
        <rFont val="Arial Cyr"/>
      </rPr>
      <t>fH298Дж/моль</t>
    </r>
  </si>
  <si>
    <t>*Yb{298-553}</t>
  </si>
  <si>
    <t xml:space="preserve"> +f2 lnx</t>
  </si>
  <si>
    <t>*Yb{553-1033}</t>
  </si>
  <si>
    <t>h0</t>
  </si>
  <si>
    <t>*Yb{1033-1097}</t>
  </si>
  <si>
    <t>*Yb{1097-4000}</t>
  </si>
  <si>
    <t>Yb{298-3200}</t>
  </si>
  <si>
    <t>Yb{3200-6000}</t>
  </si>
  <si>
    <t>YbO{298-3200}</t>
  </si>
  <si>
    <t>YbO{3200-6000}</t>
  </si>
  <si>
    <t>*Yb2O3{2663-2708}</t>
  </si>
  <si>
    <t>*Yb2O3{298-2663}</t>
  </si>
  <si>
    <t>*Yb2O3{2708-6000}</t>
  </si>
  <si>
    <t xml:space="preserve"> +f3 /x^2</t>
  </si>
  <si>
    <t xml:space="preserve"> +f4 /x</t>
  </si>
  <si>
    <t xml:space="preserve">  +f5 x</t>
  </si>
  <si>
    <t xml:space="preserve"> +f6 x^2</t>
  </si>
  <si>
    <t xml:space="preserve"> +f7 x^3</t>
  </si>
  <si>
    <t>*Er{298-1802}</t>
  </si>
  <si>
    <t>*Er{1802-5500}</t>
  </si>
  <si>
    <t>Er{298-2200}</t>
  </si>
  <si>
    <t>Er{2200-6000}</t>
  </si>
  <si>
    <t>ErO{298-6000}</t>
  </si>
  <si>
    <t>*Er2O3{298-2593}</t>
  </si>
  <si>
    <t>*Er2O3{2593-2691}</t>
  </si>
  <si>
    <t>*Er2O3{2691-6000}</t>
  </si>
  <si>
    <t>*Tm{298-900}</t>
  </si>
  <si>
    <t>*YbCl2</t>
  </si>
  <si>
    <t>*ErCl3</t>
  </si>
  <si>
    <t>*ErCl3(l)</t>
  </si>
  <si>
    <t>ErCl3</t>
  </si>
  <si>
    <t>*HoCl3</t>
  </si>
  <si>
    <t>*HoCl3(l)</t>
  </si>
  <si>
    <t>HoCl3</t>
  </si>
  <si>
    <t>*NdCl3</t>
  </si>
  <si>
    <t>*NdCl3(l)</t>
  </si>
  <si>
    <t>NdCl3</t>
  </si>
  <si>
    <t>*TmCl3</t>
  </si>
  <si>
    <t>*TmCl3(l)</t>
  </si>
  <si>
    <t>TmCl3</t>
  </si>
  <si>
    <t>*ErF3(alpha)</t>
  </si>
  <si>
    <t>*ErF3(beta)</t>
  </si>
  <si>
    <t>Второй присое-</t>
  </si>
  <si>
    <t>диненный шаблон</t>
  </si>
  <si>
    <t>в четырех строках</t>
  </si>
  <si>
    <t>с расчетом H,S,Cp и dH</t>
  </si>
  <si>
    <t xml:space="preserve"> во второй и четвертой</t>
  </si>
  <si>
    <t>*ErF3(liq)</t>
  </si>
  <si>
    <t>←ho,{φi}</t>
  </si>
  <si>
    <t>ErF3</t>
  </si>
  <si>
    <t>*TmF3[alfa]</t>
  </si>
  <si>
    <t>*TmF3(beta)</t>
  </si>
  <si>
    <t>*TmF3(liq)</t>
  </si>
  <si>
    <t>TmF3</t>
  </si>
  <si>
    <t>*YbF3[alpha]</t>
  </si>
  <si>
    <t>*YbF3(beta)</t>
  </si>
  <si>
    <t>*YbF3(liq)</t>
  </si>
  <si>
    <t>YbF3</t>
  </si>
  <si>
    <t>*NdF3</t>
  </si>
  <si>
    <t>*NdF3(liq)</t>
  </si>
  <si>
    <t>NdF3</t>
  </si>
  <si>
    <t>*Nd[alpha]</t>
  </si>
  <si>
    <t>*Nd[beta]</t>
  </si>
  <si>
    <t>*Nd[liq]</t>
  </si>
  <si>
    <t>Nd</t>
  </si>
  <si>
    <t>*Nd2O3[alpha]</t>
  </si>
  <si>
    <t>*Yb2O3[alpha]</t>
  </si>
  <si>
    <t>*Tm{900-1818}</t>
  </si>
  <si>
    <t>*Tm{1818-4500}</t>
  </si>
  <si>
    <t>Tm{298-1800}</t>
  </si>
  <si>
    <t>Tm{1800-6000}</t>
  </si>
  <si>
    <t>TmO{298-6000}</t>
  </si>
  <si>
    <t>*Tm2O3{298-2623}</t>
  </si>
  <si>
    <t>*Tm2O3[2623-2683}</t>
  </si>
  <si>
    <t>*Tm2O3[2683-6000}</t>
  </si>
  <si>
    <t>*Ho[298-1701}</t>
  </si>
  <si>
    <t>*Ho[1701-1747]</t>
  </si>
  <si>
    <t>*Ho[1747-5500]</t>
  </si>
  <si>
    <t>Ho[298-1400]</t>
  </si>
  <si>
    <t>Ho[1400-2400]</t>
  </si>
  <si>
    <t>Ho[2400-6000]</t>
  </si>
  <si>
    <t>HoO[298-1400]</t>
  </si>
  <si>
    <t>HoO[1400-6000]</t>
  </si>
  <si>
    <t>*Ho2O3[298-2473]</t>
  </si>
  <si>
    <t>*Ho2O3[2473-2688]</t>
  </si>
  <si>
    <t>*Ho2O3[2688-6000]</t>
  </si>
  <si>
    <t>*Nd2O3[298-2333]</t>
  </si>
  <si>
    <t>*Nd2O3[2333-2593]</t>
  </si>
  <si>
    <t>*Nd2O3[2593-6000]</t>
  </si>
  <si>
    <t>NdO[298-1400]</t>
  </si>
  <si>
    <t>NdO[1400-6000]</t>
  </si>
  <si>
    <t>Nd[298-1800]</t>
  </si>
  <si>
    <t>Nd[1800-6000]</t>
  </si>
  <si>
    <t>*Nd[298-1128]</t>
  </si>
  <si>
    <t>*Nd[1128-1289]</t>
  </si>
  <si>
    <t>*Nd[1289-1500]</t>
  </si>
  <si>
    <t>*Nd[1500-5500]</t>
  </si>
  <si>
    <t>( кило)→H</t>
  </si>
  <si>
    <r>
      <t>Δ</t>
    </r>
    <r>
      <rPr>
        <sz val="9"/>
        <rFont val="Arial Cyr"/>
        <charset val="204"/>
      </rPr>
      <t>H(кило)</t>
    </r>
  </si>
  <si>
    <r>
      <t xml:space="preserve">Пересчёт fi - коэффициентов ТЕРРA в </t>
    </r>
    <r>
      <rPr>
        <sz val="9"/>
        <rFont val="Arial Cyr"/>
        <charset val="204"/>
      </rPr>
      <t>φ - коэффициенты</t>
    </r>
    <r>
      <rPr>
        <sz val="9"/>
        <rFont val="Arial Cyr"/>
      </rPr>
      <t xml:space="preserve"> </t>
    </r>
  </si>
  <si>
    <r>
      <t>Δ</t>
    </r>
    <r>
      <rPr>
        <sz val="9"/>
        <rFont val="Arial Cyr"/>
      </rPr>
      <t>fH298,</t>
    </r>
    <r>
      <rPr>
        <sz val="9"/>
        <rFont val="Arial Cyr"/>
        <charset val="204"/>
      </rPr>
      <t>δ</t>
    </r>
    <r>
      <rPr>
        <sz val="9"/>
        <rFont val="Arial Cyr"/>
      </rPr>
      <t>H</t>
    </r>
  </si>
  <si>
    <r>
      <t>←</t>
    </r>
    <r>
      <rPr>
        <sz val="9"/>
        <rFont val="Arial Cyr"/>
        <charset val="204"/>
      </rPr>
      <t>( кило)→H</t>
    </r>
  </si>
  <si>
    <r>
      <t>dH</t>
    </r>
    <r>
      <rPr>
        <sz val="9"/>
        <rFont val="Arial Cyr"/>
        <charset val="204"/>
      </rPr>
      <t>(кило)</t>
    </r>
  </si>
  <si>
    <t>φ1</t>
  </si>
  <si>
    <r>
      <t>φ2</t>
    </r>
    <r>
      <rPr>
        <sz val="10"/>
        <rFont val="Arial Cyr"/>
      </rPr>
      <t/>
    </r>
  </si>
  <si>
    <r>
      <t>φ3</t>
    </r>
    <r>
      <rPr>
        <sz val="10"/>
        <rFont val="Arial Cyr"/>
      </rPr>
      <t/>
    </r>
  </si>
  <si>
    <r>
      <t>φ4</t>
    </r>
    <r>
      <rPr>
        <sz val="10"/>
        <rFont val="Arial Cyr"/>
      </rPr>
      <t/>
    </r>
  </si>
  <si>
    <r>
      <t>φ5</t>
    </r>
    <r>
      <rPr>
        <sz val="10"/>
        <rFont val="Arial Cyr"/>
      </rPr>
      <t/>
    </r>
  </si>
  <si>
    <r>
      <t>φ6</t>
    </r>
    <r>
      <rPr>
        <sz val="10"/>
        <rFont val="Arial Cyr"/>
      </rPr>
      <t/>
    </r>
  </si>
  <si>
    <r>
      <t>φ7</t>
    </r>
    <r>
      <rPr>
        <sz val="10"/>
        <rFont val="Arial Cyr"/>
      </rPr>
      <t/>
    </r>
  </si>
  <si>
    <r>
      <t>←</t>
    </r>
    <r>
      <rPr>
        <sz val="9"/>
        <rFont val="Arial Cyr"/>
      </rPr>
      <t>ho,{φi}</t>
    </r>
  </si>
  <si>
    <r>
      <t>*SiO2[</t>
    </r>
    <r>
      <rPr>
        <sz val="9"/>
        <color indexed="10"/>
        <rFont val="Times New Roman"/>
        <family val="1"/>
        <charset val="204"/>
      </rPr>
      <t>α</t>
    </r>
    <r>
      <rPr>
        <sz val="9"/>
        <color indexed="10"/>
        <rFont val="Arial Cyr"/>
        <charset val="204"/>
      </rPr>
      <t>Quartz]</t>
    </r>
  </si>
  <si>
    <r>
      <t>*SiO2[</t>
    </r>
    <r>
      <rPr>
        <sz val="9"/>
        <color indexed="10"/>
        <rFont val="Times New Roman"/>
        <family val="1"/>
        <charset val="204"/>
      </rPr>
      <t>β</t>
    </r>
    <r>
      <rPr>
        <sz val="9"/>
        <color indexed="10"/>
        <rFont val="Arial Cyr"/>
        <charset val="204"/>
      </rPr>
      <t>Quartz]</t>
    </r>
  </si>
  <si>
    <t>*YbCl3</t>
  </si>
  <si>
    <t>*YbCl3[liq]</t>
  </si>
  <si>
    <t>YbCl3</t>
  </si>
  <si>
    <t>SiO2 [glass]</t>
  </si>
  <si>
    <t>Cp=14,78+2,222*10^-3*T-4,306*10^5*T^-2, кал/моль град</t>
  </si>
  <si>
    <t xml:space="preserve"> энтальп иz ИВТАН!!!!!!!!</t>
  </si>
  <si>
    <t>SiO2{298-848}</t>
  </si>
  <si>
    <t>SiO2{848-1200}</t>
  </si>
  <si>
    <t>SiO2{1996-4700}</t>
  </si>
  <si>
    <t>Al2O3 {298-500}</t>
  </si>
  <si>
    <t>Al2O3 {500-1200}</t>
  </si>
  <si>
    <t>Al2O3 {1200-2327}</t>
  </si>
  <si>
    <t>Al2O3 {2327-5400}</t>
  </si>
  <si>
    <t>Аддит</t>
  </si>
  <si>
    <t>Al6Si2O13 {298-500}</t>
  </si>
  <si>
    <t>Al6Si2O13 {500-848}</t>
  </si>
  <si>
    <t>Al6Si2O13 {848-1200}</t>
  </si>
  <si>
    <t>Al6Si2O13 {1200-1996}</t>
  </si>
  <si>
    <t>SiO2{1200-1996}</t>
  </si>
  <si>
    <t>Al6Si2O13 {1996-2327}</t>
  </si>
  <si>
    <t>Al6Si2O13 {2327-4700}</t>
  </si>
  <si>
    <t>Из NIST</t>
  </si>
  <si>
    <t>Al6Si2O13 {298-1700}</t>
  </si>
  <si>
    <t>rature (K)</t>
  </si>
  <si>
    <t>298. - 1996.</t>
  </si>
  <si>
    <t>A</t>
  </si>
  <si>
    <t>B</t>
  </si>
  <si>
    <t>C</t>
  </si>
  <si>
    <t>D</t>
  </si>
  <si>
    <t>E</t>
  </si>
  <si>
    <t>F</t>
  </si>
  <si>
    <t>G</t>
  </si>
  <si>
    <t>H</t>
  </si>
  <si>
    <t>SiO2 [crist]</t>
  </si>
  <si>
    <t>cristobalite, high phase; Data last reviewed in June, 1967</t>
  </si>
  <si>
    <t>SiCl4 NIST</t>
  </si>
  <si>
    <t>*Ge</t>
  </si>
  <si>
    <t>*Ge[liq]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</si>
</sst>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E+00"/>
    <numFmt numFmtId="165" formatCode="0.0000E+00"/>
  </numFmts>
  <fonts count="18" x14ac:knownFonts="1">
    <font>
      <sz val="10"/>
      <name val="Arial Cy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indexed="81"/>
      <name val="Arial Narrow"/>
      <family val="2"/>
      <charset val="204"/>
    </font>
    <font>
      <sz val="11"/>
      <color indexed="81"/>
      <name val="Tahoma"/>
      <family val="2"/>
      <charset val="204"/>
    </font>
    <font>
      <sz val="9"/>
      <name val="Arial Narrow"/>
      <family val="2"/>
      <charset val="204"/>
    </font>
    <font>
      <sz val="9"/>
      <name val="Arial Cyr"/>
    </font>
    <font>
      <sz val="9"/>
      <color indexed="10"/>
      <name val="Arial Cyr"/>
    </font>
    <font>
      <sz val="9"/>
      <color indexed="10"/>
      <name val="Arial Narrow"/>
      <family val="2"/>
      <charset val="204"/>
    </font>
    <font>
      <sz val="9"/>
      <name val="Arial Cyr"/>
      <charset val="204"/>
    </font>
    <font>
      <sz val="9"/>
      <name val="Arial"/>
      <family val="2"/>
      <charset val="204"/>
    </font>
    <font>
      <sz val="9"/>
      <color indexed="10"/>
      <name val="Arial Cyr"/>
      <charset val="204"/>
    </font>
    <font>
      <b/>
      <sz val="9"/>
      <color indexed="10"/>
      <name val="Arial Cyr"/>
      <charset val="204"/>
    </font>
    <font>
      <sz val="9"/>
      <color indexed="10"/>
      <name val="Times New Roman"/>
      <family val="1"/>
      <charset val="204"/>
    </font>
    <font>
      <b/>
      <sz val="13"/>
      <color rgb="FF000000"/>
      <name val="Arial"/>
      <family val="2"/>
      <charset val="204"/>
    </font>
    <font>
      <sz val="13"/>
      <color rgb="FF000000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9DEDE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7" fillId="2" borderId="0" xfId="0" applyNumberFormat="1" applyFont="1" applyFill="1" applyAlignment="1">
      <alignment horizontal="right"/>
    </xf>
    <xf numFmtId="0" fontId="8" fillId="0" borderId="0" xfId="0" applyFont="1"/>
    <xf numFmtId="0" fontId="9" fillId="0" borderId="0" xfId="0" applyFont="1"/>
    <xf numFmtId="0" fontId="8" fillId="0" borderId="0" xfId="0" applyFont="1" applyFill="1"/>
    <xf numFmtId="0" fontId="8" fillId="0" borderId="0" xfId="0" applyFont="1" applyFill="1" applyAlignment="1">
      <alignment horizontal="right"/>
    </xf>
    <xf numFmtId="164" fontId="10" fillId="0" borderId="0" xfId="0" applyNumberFormat="1" applyFont="1" applyFill="1"/>
    <xf numFmtId="0" fontId="8" fillId="3" borderId="0" xfId="0" applyNumberFormat="1" applyFont="1" applyFill="1"/>
    <xf numFmtId="0" fontId="8" fillId="0" borderId="0" xfId="0" applyNumberFormat="1" applyFont="1"/>
    <xf numFmtId="0" fontId="8" fillId="0" borderId="0" xfId="0" applyFont="1" applyFill="1" applyAlignment="1">
      <alignment horizontal="center"/>
    </xf>
    <xf numFmtId="0" fontId="8" fillId="0" borderId="0" xfId="0" applyFont="1" applyAlignment="1">
      <alignment horizontal="right"/>
    </xf>
    <xf numFmtId="0" fontId="8" fillId="4" borderId="0" xfId="0" applyFont="1" applyFill="1"/>
    <xf numFmtId="0" fontId="11" fillId="0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Fill="1"/>
    <xf numFmtId="0" fontId="8" fillId="5" borderId="0" xfId="0" applyNumberFormat="1" applyFont="1" applyFill="1"/>
    <xf numFmtId="0" fontId="8" fillId="5" borderId="0" xfId="0" applyFont="1" applyFill="1"/>
    <xf numFmtId="0" fontId="12" fillId="5" borderId="0" xfId="0" applyNumberFormat="1" applyFont="1" applyFill="1"/>
    <xf numFmtId="0" fontId="7" fillId="5" borderId="0" xfId="0" applyNumberFormat="1" applyFont="1" applyFill="1"/>
    <xf numFmtId="0" fontId="8" fillId="6" borderId="0" xfId="0" applyNumberFormat="1" applyFont="1" applyFill="1"/>
    <xf numFmtId="0" fontId="8" fillId="6" borderId="0" xfId="0" applyFont="1" applyFill="1"/>
    <xf numFmtId="0" fontId="8" fillId="7" borderId="0" xfId="0" applyNumberFormat="1" applyFont="1" applyFill="1"/>
    <xf numFmtId="0" fontId="8" fillId="7" borderId="0" xfId="0" applyFont="1" applyFill="1"/>
    <xf numFmtId="0" fontId="8" fillId="0" borderId="0" xfId="0" applyNumberFormat="1" applyFont="1" applyAlignment="1">
      <alignment horizontal="right"/>
    </xf>
    <xf numFmtId="0" fontId="12" fillId="2" borderId="0" xfId="0" applyFont="1" applyFill="1"/>
    <xf numFmtId="0" fontId="8" fillId="8" borderId="0" xfId="0" applyFont="1" applyFill="1" applyAlignment="1">
      <alignment horizontal="right"/>
    </xf>
    <xf numFmtId="0" fontId="8" fillId="8" borderId="0" xfId="0" applyNumberFormat="1" applyFont="1" applyFill="1" applyAlignment="1">
      <alignment horizontal="right"/>
    </xf>
    <xf numFmtId="0" fontId="7" fillId="0" borderId="0" xfId="0" applyNumberFormat="1" applyFont="1" applyFill="1" applyAlignment="1">
      <alignment horizontal="left"/>
    </xf>
    <xf numFmtId="0" fontId="7" fillId="0" borderId="0" xfId="0" applyFont="1"/>
    <xf numFmtId="0" fontId="8" fillId="0" borderId="0" xfId="0" applyNumberFormat="1" applyFont="1" applyFill="1"/>
    <xf numFmtId="0" fontId="7" fillId="9" borderId="0" xfId="0" applyFont="1" applyFill="1"/>
    <xf numFmtId="0" fontId="7" fillId="0" borderId="0" xfId="0" applyNumberFormat="1" applyFont="1" applyFill="1" applyAlignment="1">
      <alignment horizontal="right"/>
    </xf>
    <xf numFmtId="0" fontId="7" fillId="8" borderId="0" xfId="0" applyNumberFormat="1" applyFont="1" applyFill="1"/>
    <xf numFmtId="0" fontId="7" fillId="0" borderId="0" xfId="0" applyNumberFormat="1" applyFont="1" applyFill="1"/>
    <xf numFmtId="0" fontId="8" fillId="10" borderId="0" xfId="0" applyFont="1" applyFill="1"/>
    <xf numFmtId="165" fontId="7" fillId="0" borderId="0" xfId="0" applyNumberFormat="1" applyFont="1"/>
    <xf numFmtId="0" fontId="13" fillId="10" borderId="0" xfId="0" applyFont="1" applyFill="1"/>
    <xf numFmtId="0" fontId="7" fillId="11" borderId="0" xfId="0" applyNumberFormat="1" applyFont="1" applyFill="1"/>
    <xf numFmtId="165" fontId="7" fillId="11" borderId="0" xfId="0" applyNumberFormat="1" applyFont="1" applyFill="1"/>
    <xf numFmtId="0" fontId="7" fillId="5" borderId="0" xfId="0" applyFont="1" applyFill="1"/>
    <xf numFmtId="0" fontId="8" fillId="11" borderId="0" xfId="0" applyFont="1" applyFill="1"/>
    <xf numFmtId="0" fontId="8" fillId="0" borderId="1" xfId="0" applyNumberFormat="1" applyFont="1" applyFill="1" applyBorder="1"/>
    <xf numFmtId="0" fontId="7" fillId="2" borderId="0" xfId="0" applyFont="1" applyFill="1" applyBorder="1"/>
    <xf numFmtId="0" fontId="7" fillId="0" borderId="1" xfId="0" applyFont="1" applyFill="1" applyBorder="1"/>
    <xf numFmtId="0" fontId="7" fillId="0" borderId="1" xfId="0" applyNumberFormat="1" applyFont="1" applyFill="1" applyBorder="1"/>
    <xf numFmtId="0" fontId="7" fillId="0" borderId="1" xfId="0" applyFont="1" applyBorder="1"/>
    <xf numFmtId="0" fontId="8" fillId="0" borderId="1" xfId="0" applyFont="1" applyBorder="1"/>
    <xf numFmtId="0" fontId="8" fillId="10" borderId="0" xfId="0" applyFont="1" applyFill="1" applyAlignment="1">
      <alignment horizontal="right"/>
    </xf>
    <xf numFmtId="0" fontId="12" fillId="11" borderId="0" xfId="0" applyFont="1" applyFill="1" applyAlignment="1">
      <alignment horizontal="right"/>
    </xf>
    <xf numFmtId="0" fontId="8" fillId="0" borderId="0" xfId="0" applyNumberFormat="1" applyFont="1" applyFill="1" applyBorder="1"/>
    <xf numFmtId="0" fontId="7" fillId="10" borderId="0" xfId="0" applyNumberFormat="1" applyFont="1" applyFill="1"/>
    <xf numFmtId="0" fontId="7" fillId="2" borderId="0" xfId="0" applyFont="1" applyFill="1"/>
    <xf numFmtId="0" fontId="7" fillId="0" borderId="0" xfId="0" applyFont="1" applyFill="1" applyAlignment="1">
      <alignment horizontal="left"/>
    </xf>
    <xf numFmtId="0" fontId="7" fillId="10" borderId="0" xfId="0" applyFont="1" applyFill="1"/>
    <xf numFmtId="0" fontId="7" fillId="6" borderId="0" xfId="0" applyFont="1" applyFill="1"/>
    <xf numFmtId="0" fontId="7" fillId="0" borderId="1" xfId="0" applyNumberFormat="1" applyFont="1" applyBorder="1"/>
    <xf numFmtId="0" fontId="7" fillId="11" borderId="0" xfId="0" applyFont="1" applyFill="1"/>
    <xf numFmtId="0" fontId="7" fillId="7" borderId="0" xfId="0" applyFont="1" applyFill="1"/>
    <xf numFmtId="0" fontId="8" fillId="0" borderId="0" xfId="0" applyFont="1" applyBorder="1"/>
    <xf numFmtId="0" fontId="7" fillId="0" borderId="0" xfId="0" applyFont="1" applyBorder="1"/>
    <xf numFmtId="0" fontId="7" fillId="0" borderId="0" xfId="0" applyNumberFormat="1" applyFont="1" applyFill="1" applyBorder="1"/>
    <xf numFmtId="0" fontId="7" fillId="0" borderId="0" xfId="0" applyNumberFormat="1" applyFont="1" applyBorder="1"/>
    <xf numFmtId="0" fontId="8" fillId="9" borderId="0" xfId="0" applyFont="1" applyFill="1"/>
    <xf numFmtId="0" fontId="8" fillId="0" borderId="0" xfId="0" applyNumberFormat="1" applyFont="1" applyFill="1" applyAlignment="1">
      <alignment horizontal="right"/>
    </xf>
    <xf numFmtId="0" fontId="8" fillId="8" borderId="0" xfId="0" applyNumberFormat="1" applyFont="1" applyFill="1"/>
    <xf numFmtId="0" fontId="13" fillId="11" borderId="0" xfId="0" applyFont="1" applyFill="1"/>
    <xf numFmtId="0" fontId="12" fillId="11" borderId="0" xfId="0" applyFont="1" applyFill="1"/>
    <xf numFmtId="0" fontId="8" fillId="2" borderId="1" xfId="0" applyFont="1" applyFill="1" applyBorder="1"/>
    <xf numFmtId="0" fontId="8" fillId="0" borderId="1" xfId="0" applyFont="1" applyFill="1" applyBorder="1"/>
    <xf numFmtId="0" fontId="8" fillId="2" borderId="0" xfId="0" applyNumberFormat="1" applyFont="1" applyFill="1" applyAlignment="1">
      <alignment horizontal="right"/>
    </xf>
    <xf numFmtId="0" fontId="8" fillId="10" borderId="0" xfId="0" applyNumberFormat="1" applyFont="1" applyFill="1"/>
    <xf numFmtId="0" fontId="8" fillId="2" borderId="0" xfId="0" applyFont="1" applyFill="1"/>
    <xf numFmtId="0" fontId="13" fillId="12" borderId="0" xfId="0" applyFont="1" applyFill="1"/>
    <xf numFmtId="0" fontId="8" fillId="12" borderId="0" xfId="0" applyFont="1" applyFill="1"/>
    <xf numFmtId="0" fontId="8" fillId="6" borderId="0" xfId="0" applyFont="1" applyFill="1" applyAlignment="1">
      <alignment horizontal="right"/>
    </xf>
    <xf numFmtId="0" fontId="14" fillId="11" borderId="0" xfId="0" applyFont="1" applyFill="1"/>
    <xf numFmtId="0" fontId="8" fillId="2" borderId="0" xfId="0" applyNumberFormat="1" applyFont="1" applyFill="1"/>
    <xf numFmtId="0" fontId="14" fillId="12" borderId="0" xfId="0" applyFont="1" applyFill="1"/>
    <xf numFmtId="0" fontId="7" fillId="2" borderId="1" xfId="0" applyFont="1" applyFill="1" applyBorder="1"/>
    <xf numFmtId="165" fontId="7" fillId="0" borderId="1" xfId="0" applyNumberFormat="1" applyFont="1" applyFill="1" applyBorder="1"/>
    <xf numFmtId="0" fontId="16" fillId="13" borderId="2" xfId="0" applyFont="1" applyFill="1" applyBorder="1" applyAlignment="1">
      <alignment horizontal="left" vertical="center" wrapText="1"/>
    </xf>
    <xf numFmtId="0" fontId="17" fillId="14" borderId="2" xfId="0" applyFont="1" applyFill="1" applyBorder="1" applyAlignment="1">
      <alignment horizontal="right"/>
    </xf>
    <xf numFmtId="165" fontId="8" fillId="0" borderId="1" xfId="0" applyNumberFormat="1" applyFont="1" applyFill="1" applyBorder="1"/>
    <xf numFmtId="165" fontId="8" fillId="0" borderId="0" xfId="0" applyNumberFormat="1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246"/>
  <sheetViews>
    <sheetView tabSelected="1" topLeftCell="A16" zoomScale="190" zoomScaleNormal="190" workbookViewId="0">
      <selection activeCell="A25" sqref="A25:L31"/>
    </sheetView>
  </sheetViews>
  <sheetFormatPr defaultRowHeight="12" x14ac:dyDescent="0.2"/>
  <cols>
    <col min="1" max="1" width="16" style="2" customWidth="1"/>
    <col min="2" max="2" width="10" style="2" customWidth="1"/>
    <col min="3" max="3" width="11.140625" style="2" customWidth="1"/>
    <col min="4" max="4" width="10.42578125" style="2" customWidth="1"/>
    <col min="5" max="5" width="12.5703125" style="2" customWidth="1"/>
    <col min="6" max="6" width="10.5703125" style="2" customWidth="1"/>
    <col min="7" max="7" width="10.85546875" style="2" customWidth="1"/>
    <col min="8" max="8" width="10.42578125" style="2" customWidth="1"/>
    <col min="9" max="9" width="11.5703125" style="2" customWidth="1"/>
    <col min="10" max="10" width="10.42578125" style="2" customWidth="1"/>
    <col min="11" max="11" width="9.140625" style="2"/>
    <col min="12" max="14" width="11.42578125" style="2" customWidth="1"/>
    <col min="15" max="15" width="10.28515625" style="2" customWidth="1"/>
    <col min="16" max="16" width="18.28515625" style="2" customWidth="1"/>
    <col min="17" max="17" width="10.7109375" style="2" customWidth="1"/>
    <col min="18" max="18" width="10.42578125" style="2" customWidth="1"/>
    <col min="19" max="19" width="10.28515625" style="2" customWidth="1"/>
    <col min="20" max="21" width="10.5703125" style="2" customWidth="1"/>
    <col min="22" max="22" width="9.85546875" style="2" customWidth="1"/>
    <col min="23" max="23" width="10.140625" style="2" customWidth="1"/>
    <col min="24" max="24" width="9.140625" style="2"/>
    <col min="25" max="27" width="10.5703125" style="2" customWidth="1"/>
    <col min="28" max="28" width="8.7109375" style="2" customWidth="1"/>
    <col min="29" max="29" width="11" style="2" customWidth="1"/>
    <col min="30" max="30" width="13.5703125" style="2" customWidth="1"/>
    <col min="31" max="31" width="10.28515625" style="2" customWidth="1"/>
    <col min="32" max="32" width="13.28515625" style="2" customWidth="1"/>
    <col min="33" max="34" width="9.140625" style="2"/>
    <col min="35" max="35" width="13.42578125" style="2" customWidth="1"/>
    <col min="36" max="36" width="13.140625" style="2" customWidth="1"/>
    <col min="37" max="37" width="10" style="2" customWidth="1"/>
    <col min="38" max="38" width="12.85546875" style="2" customWidth="1"/>
    <col min="39" max="41" width="9.140625" style="2"/>
    <col min="42" max="42" width="9.7109375" style="2" bestFit="1" customWidth="1"/>
    <col min="43" max="43" width="10.5703125" style="2" customWidth="1"/>
    <col min="44" max="44" width="13.42578125" style="2" customWidth="1"/>
    <col min="45" max="47" width="9.140625" style="2"/>
    <col min="48" max="48" width="12.5703125" style="2" customWidth="1"/>
    <col min="49" max="49" width="10.28515625" style="2" customWidth="1"/>
    <col min="50" max="50" width="11.42578125" style="2" customWidth="1"/>
    <col min="51" max="51" width="13" style="2" customWidth="1"/>
    <col min="52" max="55" width="9.140625" style="2"/>
    <col min="56" max="56" width="12.42578125" style="2" customWidth="1"/>
    <col min="57" max="57" width="9.140625" style="2"/>
    <col min="58" max="58" width="12.7109375" style="2" customWidth="1"/>
    <col min="59" max="63" width="9.140625" style="2"/>
    <col min="64" max="64" width="16.42578125" style="2" customWidth="1"/>
    <col min="65" max="65" width="11.7109375" style="2" customWidth="1"/>
    <col min="66" max="66" width="9.28515625" style="2" customWidth="1"/>
    <col min="67" max="71" width="9.140625" style="2"/>
    <col min="72" max="72" width="12" style="2" customWidth="1"/>
    <col min="73" max="16384" width="9.140625" style="2"/>
  </cols>
  <sheetData>
    <row r="1" spans="1:30" x14ac:dyDescent="0.2">
      <c r="A1" s="2" t="s">
        <v>38</v>
      </c>
      <c r="Z1" s="3" t="s">
        <v>37</v>
      </c>
    </row>
    <row r="2" spans="1:30" ht="13.5" x14ac:dyDescent="0.25">
      <c r="Z2" s="4"/>
      <c r="AA2" s="4"/>
      <c r="AB2" s="5" t="s">
        <v>5</v>
      </c>
      <c r="AC2" s="6">
        <v>-0.19598783480147608</v>
      </c>
      <c r="AD2" s="4"/>
    </row>
    <row r="3" spans="1:30" ht="13.5" x14ac:dyDescent="0.25">
      <c r="Z3" s="4"/>
      <c r="AA3" s="4"/>
      <c r="AB3" s="5" t="s">
        <v>6</v>
      </c>
      <c r="AC3" s="6">
        <v>-5.4369880616587869</v>
      </c>
      <c r="AD3" s="4"/>
    </row>
    <row r="4" spans="1:30" ht="13.5" x14ac:dyDescent="0.25">
      <c r="Z4" s="4"/>
      <c r="AA4" s="4"/>
      <c r="AB4" s="5" t="s">
        <v>7</v>
      </c>
      <c r="AC4" s="6">
        <v>1.4402356141175736E-3</v>
      </c>
      <c r="AD4" s="4"/>
    </row>
    <row r="5" spans="1:30" ht="13.5" x14ac:dyDescent="0.25">
      <c r="Z5" s="4"/>
      <c r="AA5" s="4"/>
      <c r="AB5" s="5" t="s">
        <v>8</v>
      </c>
      <c r="AC5" s="6">
        <v>-0.7087660475147185</v>
      </c>
      <c r="AD5" s="7" t="s">
        <v>13</v>
      </c>
    </row>
    <row r="6" spans="1:30" ht="13.5" x14ac:dyDescent="0.25">
      <c r="Z6" s="4"/>
      <c r="AA6" s="4"/>
      <c r="AB6" s="5" t="s">
        <v>9</v>
      </c>
      <c r="AC6" s="6">
        <v>-1.0884211100613037</v>
      </c>
      <c r="AD6" s="8" t="s">
        <v>14</v>
      </c>
    </row>
    <row r="7" spans="1:30" ht="13.5" x14ac:dyDescent="0.25">
      <c r="Z7" s="4"/>
      <c r="AA7" s="4"/>
      <c r="AB7" s="5" t="s">
        <v>10</v>
      </c>
      <c r="AC7" s="6">
        <v>0</v>
      </c>
      <c r="AD7" s="4"/>
    </row>
    <row r="8" spans="1:30" ht="13.5" x14ac:dyDescent="0.25">
      <c r="K8" s="2">
        <f>275+170+450</f>
        <v>895</v>
      </c>
      <c r="Z8" s="4"/>
      <c r="AA8" s="4"/>
      <c r="AB8" s="5" t="s">
        <v>11</v>
      </c>
      <c r="AC8" s="6">
        <v>0</v>
      </c>
      <c r="AD8" s="4"/>
    </row>
    <row r="9" spans="1:30" x14ac:dyDescent="0.2">
      <c r="Z9" s="4"/>
      <c r="AA9" s="4"/>
      <c r="AB9" s="4"/>
      <c r="AC9" s="4"/>
      <c r="AD9" s="4"/>
    </row>
    <row r="10" spans="1:30" x14ac:dyDescent="0.2">
      <c r="A10" s="2" t="s">
        <v>30</v>
      </c>
      <c r="O10" s="2" t="s">
        <v>30</v>
      </c>
      <c r="Z10" s="9" t="s">
        <v>0</v>
      </c>
      <c r="AA10" s="10" t="s">
        <v>1</v>
      </c>
      <c r="AB10" s="5" t="s">
        <v>4</v>
      </c>
      <c r="AC10" s="5" t="s">
        <v>12</v>
      </c>
      <c r="AD10" s="11">
        <f>SUM(AD11:AD16)</f>
        <v>2.8867332809027964E-4</v>
      </c>
    </row>
    <row r="11" spans="1:30" x14ac:dyDescent="0.2">
      <c r="A11" s="2" t="s">
        <v>31</v>
      </c>
      <c r="O11" s="2" t="s">
        <v>31</v>
      </c>
      <c r="Z11" s="4">
        <f t="shared" ref="Z11:Z16" si="0">AA11/10000</f>
        <v>2.9814999999999998E-2</v>
      </c>
      <c r="AA11" s="4">
        <v>298.14999999999998</v>
      </c>
      <c r="AB11" s="4">
        <f t="shared" ref="AB11:AB16" si="1">16.0137-3096.52/(AA11-53.67)-LN(760)</f>
        <v>-3.2853579620761897</v>
      </c>
      <c r="AC11" s="4">
        <f t="shared" ref="AC11:AC16" si="2">AC$2+AC$3*LN(Z11)+AC$4/Z11^2+AC$5/Z11+AC$6*Z11+AC$7*Z11^2+AC$8*Z11^3</f>
        <v>-3.2816410722091711</v>
      </c>
      <c r="AD11" s="2">
        <f t="shared" ref="AD11:AD16" si="3">(AC11-AB11)^2</f>
        <v>1.3815270283545315E-5</v>
      </c>
    </row>
    <row r="12" spans="1:30" ht="13.5" x14ac:dyDescent="0.25">
      <c r="A12" s="9" t="s">
        <v>0</v>
      </c>
      <c r="B12" s="10" t="s">
        <v>1</v>
      </c>
      <c r="C12" s="12" t="s">
        <v>143</v>
      </c>
      <c r="D12" s="5" t="s">
        <v>3</v>
      </c>
      <c r="E12" s="5" t="s">
        <v>2</v>
      </c>
      <c r="F12" s="13" t="s">
        <v>28</v>
      </c>
      <c r="G12" s="14" t="s">
        <v>144</v>
      </c>
      <c r="O12" s="9" t="s">
        <v>0</v>
      </c>
      <c r="P12" s="10" t="s">
        <v>1</v>
      </c>
      <c r="Q12" s="12" t="s">
        <v>143</v>
      </c>
      <c r="R12" s="5" t="s">
        <v>3</v>
      </c>
      <c r="S12" s="5" t="s">
        <v>2</v>
      </c>
      <c r="T12" s="13" t="s">
        <v>28</v>
      </c>
      <c r="U12" s="14" t="s">
        <v>144</v>
      </c>
      <c r="Z12" s="4">
        <f t="shared" si="0"/>
        <v>0.03</v>
      </c>
      <c r="AA12" s="4">
        <v>300</v>
      </c>
      <c r="AB12" s="4">
        <f t="shared" si="1"/>
        <v>-3.190235085738462</v>
      </c>
      <c r="AC12" s="4">
        <f t="shared" si="2"/>
        <v>-3.1888001665525492</v>
      </c>
      <c r="AD12" s="2">
        <f t="shared" si="3"/>
        <v>2.0589930701008682E-6</v>
      </c>
    </row>
    <row r="13" spans="1:30" x14ac:dyDescent="0.2">
      <c r="A13" s="15">
        <f t="shared" ref="A13:A21" si="4">B13/10000</f>
        <v>2.9814999999999998E-2</v>
      </c>
      <c r="B13" s="15">
        <v>298.14999999999998</v>
      </c>
      <c r="C13" s="16">
        <f t="shared" ref="C13:C18" si="5">C$26+G13</f>
        <v>-4.6875914608279788E-16</v>
      </c>
      <c r="D13" s="15">
        <f>A$25*(D$27+E$27*(1+LN(A13))-F$27/A13^2+2*H$27*A13+3*I$27*A13^2+4*J$27*A13^3)</f>
        <v>31.1</v>
      </c>
      <c r="E13" s="17">
        <f>A$25*(E$27+2*F$27/A13^2+2*H$27*A13+6*I$27*A13^2+12*J$27*A13^3)</f>
        <v>23.275348113148219</v>
      </c>
      <c r="F13" s="15">
        <f>C$27/A13-(D$27+E$27*LN(A13)+F$27/A13^2+G$27/A13+H$27*A13+I$27*A13^2+J$27*A13^3)</f>
        <v>-3.7404534247399113</v>
      </c>
      <c r="G13" s="15">
        <f>10*A$25*(E$27*A13-2*F$27/A13-G$27+H$27*A13^2+2*I$27*A13^3+3*J$27*A13^4)</f>
        <v>-4.6875914608279788E-16</v>
      </c>
      <c r="O13" s="15">
        <f>P13/10000</f>
        <v>2.9814999999999998E-2</v>
      </c>
      <c r="P13" s="15">
        <v>298.14999999999998</v>
      </c>
      <c r="Q13" s="2">
        <f>Q$26+U13</f>
        <v>-1675700</v>
      </c>
      <c r="R13" s="15">
        <f>O$25*(R$27+S$27*(1+LN(O13))-T$27/O13^2+2*V$27*O13+3*W$27*O13^2+4*X$27*O13^3)</f>
        <v>0</v>
      </c>
      <c r="S13" s="17">
        <f>O$25*(S$27+2*T$27/O13^2+2*V$27*O13+6*W$27*O13^2+12*X$27*O13^3)</f>
        <v>0</v>
      </c>
      <c r="T13" s="15">
        <f>Q$27/O13-(R$27+S$27*LN(O13)+T$27/O13^2+U$27/O13+V$27*O13+W$27*O13^2+X$27*O13^3)</f>
        <v>-657.23265711283273</v>
      </c>
      <c r="U13" s="15">
        <f>10*O$25*(S$27*O13-2*T$27/O13-U$27+V$27*O13^2+2*W$27*O13^3+3*X$27*O13^4)</f>
        <v>0</v>
      </c>
      <c r="Z13" s="4">
        <f t="shared" si="0"/>
        <v>3.5000000000000003E-2</v>
      </c>
      <c r="AA13" s="4">
        <v>350</v>
      </c>
      <c r="AB13" s="4">
        <f t="shared" si="1"/>
        <v>-1.069184795106719</v>
      </c>
      <c r="AC13" s="4">
        <f t="shared" si="2"/>
        <v>-1.0818405126106654</v>
      </c>
      <c r="AD13" s="2">
        <f t="shared" si="3"/>
        <v>1.6016718553969378E-4</v>
      </c>
    </row>
    <row r="14" spans="1:30" ht="13.5" x14ac:dyDescent="0.25">
      <c r="A14" s="15">
        <f t="shared" si="4"/>
        <v>7.5429999999999997E-2</v>
      </c>
      <c r="B14" s="15">
        <f>(298+B15)/2</f>
        <v>754.3</v>
      </c>
      <c r="C14" s="16">
        <f t="shared" si="5"/>
        <v>11.364137645200838</v>
      </c>
      <c r="D14" s="15">
        <f>A$25*(D$27+E$27*(1+LN(A14))-F$27/A14^2+2*H$27*A14+3*I$27*A14^2+4*J$27*A14^3)</f>
        <v>54.030249805807202</v>
      </c>
      <c r="E14" s="15">
        <f>A$25*(E$27+2*F$27/A14^2+2*H$27*A14+6*I$27*A14^2+12*J$27*A14^3)</f>
        <v>26.098437676798767</v>
      </c>
      <c r="F14" s="15">
        <f>C$27/A14-(D$27+E$27*LN(A14)+F$27/A14^2+G$27/A14+H$27*A14+I$27*A14^2+J$27*A14^3)</f>
        <v>-4.6863243211220995</v>
      </c>
      <c r="G14" s="18">
        <f>10*A$25*(E$27*A14-2*F$27/A14-G$27+H$27*A14^2+2*I$27*A14^3+3*J$27*A14^4)</f>
        <v>11.364137645200838</v>
      </c>
      <c r="O14" s="15">
        <f>P14/10000</f>
        <v>3.3000000000000002E-2</v>
      </c>
      <c r="P14" s="15">
        <v>330</v>
      </c>
      <c r="Q14" s="2">
        <f>Q$26+U14</f>
        <v>-1675700</v>
      </c>
      <c r="R14" s="15">
        <f>O$25*(R$27+S$27*(1+LN(O14))-T$27/O14^2+2*V$27*O14+3*W$27*O14^2+4*X$27*O14^3)</f>
        <v>0</v>
      </c>
      <c r="S14" s="15">
        <f>O$25*(S$27+2*T$27/O14^2+2*V$27*O14+6*W$27*O14^2+12*X$27*O14^3)</f>
        <v>0</v>
      </c>
      <c r="T14" s="15">
        <f>Q$27/O14-(R$27+S$27*LN(O14)+T$27/O14^2+U$27/O14+V$27*O14+W$27*O14^2+X$27*O14^3)</f>
        <v>-593.97163642541614</v>
      </c>
      <c r="U14" s="18">
        <f>10*O$25*(S$27*O14-2*T$27/O14-U$27+V$27*O14^2+2*W$27*O14^3+3*X$27*O14^4)</f>
        <v>0</v>
      </c>
      <c r="Z14" s="4">
        <f t="shared" si="0"/>
        <v>0.04</v>
      </c>
      <c r="AA14" s="4">
        <v>400</v>
      </c>
      <c r="AB14" s="4">
        <f t="shared" si="1"/>
        <v>0.43942929576417544</v>
      </c>
      <c r="AC14" s="4">
        <f t="shared" si="2"/>
        <v>0.44246082352208066</v>
      </c>
      <c r="AD14" s="2">
        <f t="shared" si="3"/>
        <v>9.1901605469498309E-6</v>
      </c>
    </row>
    <row r="15" spans="1:30" x14ac:dyDescent="0.2">
      <c r="A15" s="15">
        <f t="shared" si="4"/>
        <v>0.12105999999999999</v>
      </c>
      <c r="B15" s="15">
        <f>B28</f>
        <v>1210.5999999999999</v>
      </c>
      <c r="C15" s="16">
        <f t="shared" si="5"/>
        <v>23.712114654673261</v>
      </c>
      <c r="D15" s="15">
        <f>A$25*(D27+E27*(1+LN(A15))-F27/A15^2+2*H27*A15+3*I27*A15^2+4*J27*A15^3)</f>
        <v>66.797128564227847</v>
      </c>
      <c r="E15" s="15">
        <f>A$25*(E27+2*F27/A15^2+2*H27*A15+6*I27*A15^2+12*J27*A15^3)</f>
        <v>27.996282975084153</v>
      </c>
      <c r="F15" s="15">
        <f>C27/A15-(D27+E27*LN(A15)+F27/A15^2+G27/A15+H27*A15+I27*A15^2+J27*A15^3)</f>
        <v>-5.6780386304981487</v>
      </c>
      <c r="G15" s="15">
        <f>10*A$25*(E27*A15-2*F27/A15-G27+H27*A15^2+2*I27*A15^3+3*J27*A15^4)</f>
        <v>23.712114654673261</v>
      </c>
      <c r="O15" s="15">
        <f>P15/10000</f>
        <v>8.4699999999999998E-2</v>
      </c>
      <c r="P15" s="15">
        <v>847</v>
      </c>
      <c r="Q15" s="2">
        <f>Q$26+U15</f>
        <v>-1675700</v>
      </c>
      <c r="R15" s="15">
        <f>O$25*(R27+S27*(1+LN(O15))-T27/O15^2+2*V27*O15+3*W27*O15^2+4*X27*O15^3)</f>
        <v>0</v>
      </c>
      <c r="S15" s="15">
        <f>O$25*(S27+2*T27/O15^2+2*V27*O15+6*W27*O15^2+12*X27*O15^3)</f>
        <v>0</v>
      </c>
      <c r="T15" s="15">
        <f>Q27/O15-(R27+S27*LN(O15)+T27/O15^2+U27/O15+V27*O15+W27*O15^2+X27*O15^3)</f>
        <v>-239.61013760609569</v>
      </c>
      <c r="U15" s="15">
        <f>10*O$25*(S27*O15-2*T27/O15-U27+V27*O15^2+2*W27*O15^3+3*X27*O15^4)</f>
        <v>0</v>
      </c>
      <c r="Z15" s="4">
        <f t="shared" si="0"/>
        <v>4.4999999999999998E-2</v>
      </c>
      <c r="AA15" s="4">
        <v>450</v>
      </c>
      <c r="AB15" s="4">
        <f t="shared" si="1"/>
        <v>1.5673974373324961</v>
      </c>
      <c r="AC15" s="4">
        <f t="shared" si="2"/>
        <v>1.5765085406101416</v>
      </c>
      <c r="AD15" s="2">
        <f t="shared" si="3"/>
        <v>8.3012202935921035E-5</v>
      </c>
    </row>
    <row r="16" spans="1:30" x14ac:dyDescent="0.2">
      <c r="A16" s="19">
        <f t="shared" si="4"/>
        <v>0.12105999999999999</v>
      </c>
      <c r="B16" s="19">
        <f>B29</f>
        <v>1210.5999999999999</v>
      </c>
      <c r="C16" s="20">
        <f t="shared" si="5"/>
        <v>60.712114654673286</v>
      </c>
      <c r="D16" s="19">
        <f>A$25*(D$30+E$30*(1+LN(A16))-F$30/A16^2+2*H$30*A16+3*I$30*A16^2+4*J$30*A16^3)</f>
        <v>97.360485577279221</v>
      </c>
      <c r="E16" s="19">
        <f>A$25*(E$30+2*F$30/A16^2+2*H$30*A16+6*I$30*A16^2+12*J$30*A16^3)</f>
        <v>121.34</v>
      </c>
      <c r="F16" s="19">
        <f>C$30/A16-(D$30+E$30*LN(A16)+F$30/A16^2+G$30/A16+H$30*A16+I$30*A16^2+J$30*A16^3)</f>
        <v>-5.6780386304981452</v>
      </c>
      <c r="G16" s="19">
        <f>10*A$25*(E$30*A16-2*F$30/A16-G$30+H$30*A16^2+2*I$30*A16^3+3*J$30*A16^4)</f>
        <v>60.712114654673286</v>
      </c>
      <c r="I16" s="2">
        <v>0</v>
      </c>
      <c r="Z16" s="4">
        <f t="shared" si="0"/>
        <v>0.05</v>
      </c>
      <c r="AA16" s="4">
        <v>500</v>
      </c>
      <c r="AB16" s="4">
        <f t="shared" si="1"/>
        <v>2.4426449144668068</v>
      </c>
      <c r="AC16" s="4">
        <f t="shared" si="2"/>
        <v>2.4381250122871054</v>
      </c>
      <c r="AD16" s="2">
        <f t="shared" si="3"/>
        <v>2.0429515714068828E-5</v>
      </c>
    </row>
    <row r="17" spans="1:43" x14ac:dyDescent="0.2">
      <c r="A17" s="19">
        <f t="shared" si="4"/>
        <v>0.12553</v>
      </c>
      <c r="B17" s="19">
        <f>(B16+B18)/2</f>
        <v>1255.3</v>
      </c>
      <c r="C17" s="20">
        <f t="shared" si="5"/>
        <v>66.136012654673294</v>
      </c>
      <c r="D17" s="19">
        <f>A$25*(D$30+E$30*(1+LN(A17))-F$30/A17^2+2*H$30*A17+3*I$30*A17^2+4*J$30*A17^3)</f>
        <v>101.76008994897953</v>
      </c>
      <c r="E17" s="19">
        <f>A$25*(E$30+2*F$30/A17^2+2*H$30*A17+6*I$30*A17^2+12*J$30*A17^3)</f>
        <v>121.34</v>
      </c>
      <c r="F17" s="19">
        <f>C$30/A17-(D$30+E$30*LN(A17)+F$30/A17^2+G$30/A17+H$30*A17+I$30*A17^2+J$30*A17^3)</f>
        <v>-5.9022991187309355</v>
      </c>
      <c r="G17" s="19">
        <f>10*A$25*(E$30*A17-2*F$30/A17-G$30+H$30*A17^2+2*I$30*A17^3+3*J$30*A17^4)</f>
        <v>66.136012654673294</v>
      </c>
      <c r="Z17" s="4"/>
      <c r="AA17" s="4"/>
    </row>
    <row r="18" spans="1:43" x14ac:dyDescent="0.2">
      <c r="A18" s="19">
        <f t="shared" si="4"/>
        <v>0.13</v>
      </c>
      <c r="B18" s="19">
        <f>B31</f>
        <v>1300</v>
      </c>
      <c r="C18" s="20">
        <f t="shared" si="5"/>
        <v>71.559910654673288</v>
      </c>
      <c r="D18" s="19">
        <f>A$25*(D$30+E$30*(1+LN(A18))-F$30/A18^2+2*H$30*A18+3*I$30*A18^2+4*J$30*A18^3)</f>
        <v>106.0057373107135</v>
      </c>
      <c r="E18" s="19">
        <f>A$25*(E$30+2*F$30/A18^2+2*H$30*A18+6*I$30*A18^2+12*J$30*A18^3)</f>
        <v>121.34</v>
      </c>
      <c r="F18" s="19">
        <f>C$30/A18-(D$30+E$30*LN(A18)+F$30/A18^2+G$30/A18+H$30*A18+I$30*A18^2+J$30*A18^3)</f>
        <v>-6.1290098252130658</v>
      </c>
      <c r="G18" s="19">
        <f>10*A$25*(E$30*A18-2*F$30/A18-G$30+H$30*A18^2+2*I$30*A18^3+3*J$30*A18^4)</f>
        <v>71.559910654673288</v>
      </c>
      <c r="U18" s="4"/>
      <c r="V18" s="4"/>
      <c r="W18" s="4"/>
      <c r="X18" s="4"/>
      <c r="Y18" s="4"/>
      <c r="Z18" s="4"/>
      <c r="AA18" s="4"/>
    </row>
    <row r="19" spans="1:43" x14ac:dyDescent="0.2">
      <c r="A19" s="21">
        <f t="shared" si="4"/>
        <v>0.12889999999999999</v>
      </c>
      <c r="B19" s="21">
        <f>B32</f>
        <v>1289</v>
      </c>
      <c r="C19" s="22">
        <f>C$26+G19</f>
        <v>46.500000000000007</v>
      </c>
      <c r="D19" s="21">
        <f>A$25*(D$33+E$33*(1+LN(A19))-F$33/A19^2+2*H$33*A19+3*I$33*A19^2+4*J$33*A19^3)</f>
        <v>86.564379161238506</v>
      </c>
      <c r="E19" s="21">
        <f>A$25*(E$33+2*F$33/A19^2+2*H$33*A19+6*I$33*A19^2+12*J$33*A19^3)</f>
        <v>48.78</v>
      </c>
      <c r="F19" s="21">
        <f>C$33/A19-(D$33+E$33*LN(A19)+F$33/A19^2+G$33/A19+H$33*A19+I$33*A19^2+J$33*A19^3)</f>
        <v>-6.0725122163680068</v>
      </c>
      <c r="G19" s="21">
        <f>10*A$25*(E$33*A19-2*F$33/A19-G$33+H$33*A19^2+2*I$33*A19^3+3*J$33*A19^4)</f>
        <v>46.500000000000007</v>
      </c>
      <c r="U19" s="4"/>
      <c r="V19" s="4"/>
      <c r="W19" s="4"/>
      <c r="X19" s="4"/>
      <c r="Y19" s="4"/>
      <c r="Z19" s="4"/>
      <c r="AA19" s="4"/>
    </row>
    <row r="20" spans="1:43" x14ac:dyDescent="0.2">
      <c r="A20" s="21">
        <f t="shared" si="4"/>
        <v>0.16445000000000001</v>
      </c>
      <c r="B20" s="21">
        <f>(B19+B21)/2</f>
        <v>1644.5</v>
      </c>
      <c r="C20" s="22">
        <f>C$26+G20</f>
        <v>63.841290000000029</v>
      </c>
      <c r="D20" s="21">
        <f>A$25*(D$33+E$33*(1+LN(A20))-F$33/A20^2+2*H$33*A20+3*I$33*A20^2+4*J$33*A20^3)</f>
        <v>98.445707307253031</v>
      </c>
      <c r="E20" s="21">
        <f>A$25*(E$33+2*F$33/A20^2+2*H$33*A20+6*I$33*A20^2+12*J$33*A20^3)</f>
        <v>48.78</v>
      </c>
      <c r="F20" s="21">
        <f>C$33/A20-(D$33+E$33*LN(A20)+F$33/A20^2+G$33/A20+H$33*A20+I$33*A20^2+J$33*A20^3)</f>
        <v>-7.1711603523527234</v>
      </c>
      <c r="G20" s="21">
        <f>10*A$25*(E$33*A20-2*F$33/A20-G$33+H$33*A20^2+2*I$33*A20^3+3*J$33*A20^4)</f>
        <v>63.841290000000029</v>
      </c>
      <c r="U20" s="4"/>
      <c r="V20" s="4"/>
      <c r="W20" s="4"/>
      <c r="X20" s="4"/>
      <c r="Y20" s="4"/>
      <c r="Z20" s="4"/>
      <c r="AA20" s="4"/>
    </row>
    <row r="21" spans="1:43" x14ac:dyDescent="0.2">
      <c r="A21" s="21">
        <f t="shared" si="4"/>
        <v>0.2</v>
      </c>
      <c r="B21" s="21">
        <f>B34</f>
        <v>2000</v>
      </c>
      <c r="C21" s="22">
        <f>C$26+G21</f>
        <v>81.182580000000016</v>
      </c>
      <c r="D21" s="21">
        <f>A$25*(D$33+E$33*(1+LN(A21))-F$33/A21^2+2*H$33*A21+3*I$33*A21^2+4*J$33*A21^3)</f>
        <v>107.99247983432775</v>
      </c>
      <c r="E21" s="21">
        <f>A$25*(E$33+2*F$33/A21^2+2*H$33*A21+6*I$33*A21^2+12*J$33*A21^3)</f>
        <v>48.78</v>
      </c>
      <c r="F21" s="21">
        <f>C$33/A21-(D$33+E$33*LN(A21)+F$33/A21^2+G$33/A21+H$33*A21+I$33*A21^2+J$33*A21^3)</f>
        <v>-8.1064633873747951</v>
      </c>
      <c r="G21" s="21">
        <f>10*A$25*(E$33*A21-2*F$33/A21-G$33+H$33*A21^2+2*I$33*A21^3+3*J$33*A21^4)</f>
        <v>81.182580000000016</v>
      </c>
      <c r="U21" s="4"/>
      <c r="V21" s="4"/>
      <c r="W21" s="4"/>
      <c r="X21" s="4"/>
      <c r="Y21" s="4"/>
      <c r="Z21" s="4"/>
      <c r="AA21" s="4"/>
    </row>
    <row r="22" spans="1:43" x14ac:dyDescent="0.2">
      <c r="A22" s="3" t="s">
        <v>42</v>
      </c>
      <c r="B22" s="8"/>
      <c r="C22" s="8"/>
      <c r="D22" s="8"/>
      <c r="E22" s="8"/>
      <c r="F22" s="8"/>
      <c r="P22" s="2" t="s">
        <v>145</v>
      </c>
      <c r="U22" s="4"/>
      <c r="V22" s="4"/>
      <c r="W22" s="4"/>
      <c r="X22" s="4"/>
      <c r="Y22" s="4"/>
      <c r="Z22" s="4"/>
      <c r="AA22" s="4"/>
    </row>
    <row r="23" spans="1:43" x14ac:dyDescent="0.2">
      <c r="A23" s="3" t="s">
        <v>43</v>
      </c>
      <c r="B23" s="8"/>
      <c r="C23" s="8"/>
      <c r="U23" s="4"/>
      <c r="V23" s="4"/>
      <c r="W23" s="4"/>
      <c r="X23" s="4"/>
      <c r="Y23" s="4"/>
      <c r="Z23" s="4"/>
      <c r="AA23" s="4"/>
    </row>
    <row r="24" spans="1:43" x14ac:dyDescent="0.2">
      <c r="E24" s="8" t="s">
        <v>22</v>
      </c>
      <c r="F24" s="23" t="s">
        <v>26</v>
      </c>
      <c r="G24" s="10"/>
      <c r="H24" s="10" t="s">
        <v>23</v>
      </c>
      <c r="I24" s="10" t="s">
        <v>24</v>
      </c>
      <c r="J24" s="10" t="s">
        <v>25</v>
      </c>
      <c r="N24" s="8"/>
      <c r="O24" s="8"/>
      <c r="P24" s="8"/>
      <c r="Q24" s="8"/>
      <c r="R24" s="8"/>
      <c r="S24" s="8"/>
    </row>
    <row r="25" spans="1:43" ht="13.5" x14ac:dyDescent="0.25">
      <c r="A25" s="15">
        <v>8.3145000000000007</v>
      </c>
      <c r="B25" s="1" t="s">
        <v>146</v>
      </c>
      <c r="C25" s="24" t="s">
        <v>147</v>
      </c>
      <c r="D25" s="25" t="s">
        <v>32</v>
      </c>
      <c r="E25" s="25" t="s">
        <v>15</v>
      </c>
      <c r="F25" s="26" t="s">
        <v>16</v>
      </c>
      <c r="G25" s="5" t="s">
        <v>148</v>
      </c>
      <c r="H25" s="26" t="s">
        <v>17</v>
      </c>
      <c r="I25" s="26" t="s">
        <v>18</v>
      </c>
      <c r="J25" s="26" t="s">
        <v>19</v>
      </c>
      <c r="M25" s="27" t="s">
        <v>27</v>
      </c>
      <c r="N25" s="28"/>
      <c r="O25" s="8"/>
      <c r="P25" s="15">
        <v>8.3145000000000007</v>
      </c>
      <c r="Q25" s="1" t="s">
        <v>45</v>
      </c>
      <c r="R25" s="8" t="s">
        <v>44</v>
      </c>
      <c r="S25" s="8" t="s">
        <v>47</v>
      </c>
      <c r="T25" s="8" t="s">
        <v>59</v>
      </c>
      <c r="U25" s="8" t="s">
        <v>60</v>
      </c>
      <c r="V25" s="8" t="s">
        <v>61</v>
      </c>
      <c r="W25" s="8" t="s">
        <v>62</v>
      </c>
      <c r="X25" s="8" t="s">
        <v>63</v>
      </c>
    </row>
    <row r="26" spans="1:43" ht="13.5" x14ac:dyDescent="0.25">
      <c r="A26" s="29">
        <v>2.9814999999999998E-2</v>
      </c>
      <c r="B26" s="30">
        <v>0</v>
      </c>
      <c r="C26" s="31">
        <f>B26-B27</f>
        <v>0</v>
      </c>
      <c r="D26" s="32">
        <v>31.1</v>
      </c>
      <c r="E26" s="32">
        <v>23.35</v>
      </c>
      <c r="F26" s="32">
        <v>-1.1000000000000001</v>
      </c>
      <c r="G26" s="33">
        <f>10*A25*(A26*(E27-2*F27/A26^2+H27*A26+2*I27*A26^2+3*J27*A26^3)-G27)</f>
        <v>0</v>
      </c>
      <c r="H26" s="32">
        <v>3.9</v>
      </c>
      <c r="I26" s="32">
        <v>0</v>
      </c>
      <c r="J26" s="32">
        <v>0</v>
      </c>
      <c r="K26" s="28"/>
      <c r="L26" s="28"/>
      <c r="M26" s="28" t="s">
        <v>90</v>
      </c>
      <c r="N26" s="28"/>
      <c r="Q26" s="34">
        <v>-1675700</v>
      </c>
      <c r="R26" s="2">
        <v>415.72699999999998</v>
      </c>
      <c r="S26" s="2">
        <v>162.9</v>
      </c>
      <c r="T26" s="35">
        <v>0</v>
      </c>
      <c r="U26" s="35">
        <v>2.1899999999999999E-2</v>
      </c>
      <c r="V26" s="28">
        <v>0</v>
      </c>
      <c r="W26" s="2">
        <v>0</v>
      </c>
      <c r="X26" s="2">
        <v>0</v>
      </c>
    </row>
    <row r="27" spans="1:43" ht="13.5" x14ac:dyDescent="0.25">
      <c r="A27" s="36" t="s">
        <v>195</v>
      </c>
      <c r="B27" s="30"/>
      <c r="C27" s="37">
        <f>C26/(10*A25)</f>
        <v>0</v>
      </c>
      <c r="D27" s="38">
        <f>D26/A25-E27*(1+LN(A26))+F27/A26^2-2*H27*A26-3*I27*A26^2-4*J27*A26^3</f>
        <v>10.582844540703487</v>
      </c>
      <c r="E27" s="37">
        <f>E26/A25</f>
        <v>2.8083468639124423</v>
      </c>
      <c r="F27" s="38">
        <f>F26/2000/A25</f>
        <v>-6.6149497865175294E-5</v>
      </c>
      <c r="G27" s="38">
        <f>A26*(E27-2*F27/A26^2+H27*A26+2*I27*A26^2+3*J27*A26^3)+(C26-C26)/10/A25</f>
        <v>9.0253009581933469E-2</v>
      </c>
      <c r="H27" s="38">
        <f>0.5*H26*10/A25</f>
        <v>2.3453003788562148</v>
      </c>
      <c r="I27" s="38">
        <f>I26*100/(6*A25)</f>
        <v>0</v>
      </c>
      <c r="J27" s="38">
        <f>J26*1000/(12*A25)</f>
        <v>0</v>
      </c>
      <c r="K27" s="39" t="s">
        <v>94</v>
      </c>
      <c r="L27" s="28"/>
      <c r="M27" s="28" t="s">
        <v>91</v>
      </c>
      <c r="N27" s="28"/>
      <c r="P27" s="2" t="s">
        <v>171</v>
      </c>
      <c r="Q27" s="34">
        <f>Q26/10000/$P$25</f>
        <v>-20.153947922304404</v>
      </c>
      <c r="R27" s="40">
        <f t="shared" ref="R27:X27" si="6">R26/$P$25</f>
        <v>50.000240543628593</v>
      </c>
      <c r="S27" s="40">
        <f t="shared" si="6"/>
        <v>19.592278549521918</v>
      </c>
      <c r="T27" s="38">
        <f t="shared" si="6"/>
        <v>0</v>
      </c>
      <c r="U27" s="38">
        <f t="shared" si="6"/>
        <v>2.6339527331769798E-3</v>
      </c>
      <c r="V27" s="37">
        <f t="shared" si="6"/>
        <v>0</v>
      </c>
      <c r="W27" s="37">
        <f t="shared" si="6"/>
        <v>0</v>
      </c>
      <c r="X27" s="37">
        <f t="shared" si="6"/>
        <v>0</v>
      </c>
    </row>
    <row r="28" spans="1:43" s="46" customFormat="1" ht="13.5" x14ac:dyDescent="0.25">
      <c r="A28" s="41">
        <f>B28/10000</f>
        <v>0.12105999999999999</v>
      </c>
      <c r="B28" s="42">
        <v>1210.5999999999999</v>
      </c>
      <c r="C28" s="43">
        <f>C26+G28</f>
        <v>23.712114654673268</v>
      </c>
      <c r="D28" s="44">
        <f>A25*(D27+E27*(1+LN(A28))-F27/A28^2+2*H27*A28+3*I27*A28^2+4*J27*A28^3)</f>
        <v>66.797128564227847</v>
      </c>
      <c r="E28" s="44">
        <f>A25*(E27+2*F27/A28^2+2*H27*A28+6*I27*A28^2+12*J27*A28^3)</f>
        <v>27.996282975084153</v>
      </c>
      <c r="F28" s="45"/>
      <c r="G28" s="44">
        <f>10*A25*(A28*(E27-2*F27/A28^2+H27*A28+2*I27*A28^2+3*J27*A28^3)-G27)</f>
        <v>23.712114654673268</v>
      </c>
      <c r="H28" s="45"/>
      <c r="I28" s="45"/>
      <c r="J28" s="45"/>
      <c r="K28" s="45"/>
      <c r="L28" s="45"/>
      <c r="M28" s="45" t="s">
        <v>92</v>
      </c>
      <c r="N28" s="45"/>
      <c r="Q28" s="47" t="s">
        <v>49</v>
      </c>
      <c r="R28" s="48" t="s">
        <v>149</v>
      </c>
      <c r="S28" s="48" t="s">
        <v>150</v>
      </c>
      <c r="T28" s="48" t="s">
        <v>151</v>
      </c>
      <c r="U28" s="48" t="s">
        <v>152</v>
      </c>
      <c r="V28" s="48" t="s">
        <v>153</v>
      </c>
      <c r="W28" s="48" t="s">
        <v>154</v>
      </c>
      <c r="X28" s="48" t="s">
        <v>155</v>
      </c>
      <c r="AG28" s="46" t="s">
        <v>180</v>
      </c>
    </row>
    <row r="29" spans="1:43" s="4" customFormat="1" ht="13.5" x14ac:dyDescent="0.25">
      <c r="A29" s="49">
        <f>B29/10000</f>
        <v>0.12105999999999999</v>
      </c>
      <c r="B29" s="42">
        <v>1210.5999999999999</v>
      </c>
      <c r="C29" s="1">
        <f>C28+K29</f>
        <v>60.712114654673272</v>
      </c>
      <c r="D29" s="50">
        <f>D28+L29</f>
        <v>97.360485577279235</v>
      </c>
      <c r="E29" s="32">
        <v>121.34</v>
      </c>
      <c r="F29" s="32">
        <v>0</v>
      </c>
      <c r="G29" s="33">
        <f>10*A25*(E30*A29-2*F30/A29-G30+H30*A29^2+2*I30*A29^3+3*J30*A29^4)</f>
        <v>60.712114654673286</v>
      </c>
      <c r="H29" s="32">
        <v>0</v>
      </c>
      <c r="I29" s="32">
        <v>0</v>
      </c>
      <c r="J29" s="32">
        <v>0</v>
      </c>
      <c r="K29" s="51">
        <v>37</v>
      </c>
      <c r="L29" s="51">
        <f>K29*1000/B29</f>
        <v>30.56335701305138</v>
      </c>
      <c r="M29" s="52" t="s">
        <v>39</v>
      </c>
      <c r="N29" s="14"/>
      <c r="P29" s="2"/>
      <c r="Q29" s="34"/>
      <c r="R29" s="2"/>
      <c r="S29" s="2"/>
      <c r="T29" s="2"/>
      <c r="U29" s="2"/>
      <c r="V29" s="2"/>
      <c r="W29" s="2"/>
      <c r="X29" s="2"/>
    </row>
    <row r="30" spans="1:43" ht="13.5" x14ac:dyDescent="0.25">
      <c r="A30" s="36" t="s">
        <v>196</v>
      </c>
      <c r="B30" s="53"/>
      <c r="C30" s="37">
        <f>(C26)/(10*A25)</f>
        <v>0</v>
      </c>
      <c r="D30" s="38">
        <f>D29/A25-E30*(1+LN(A29))+F30/A29^2-2*H30*A29-3*I30*A29^2-4*J30*A29^3</f>
        <v>27.93025830105546</v>
      </c>
      <c r="E30" s="37">
        <f>E29/A25</f>
        <v>14.593781947200673</v>
      </c>
      <c r="F30" s="38">
        <f>F29/2000/A25</f>
        <v>0</v>
      </c>
      <c r="G30" s="37">
        <f>A29*(E30-2*F30/A29^2+H30*A29+2*I30*A29^2+3*J30*A29^3)+(C26-C29)/10/A25</f>
        <v>1.0365276245754611</v>
      </c>
      <c r="H30" s="38">
        <f>0.5*H29*10/A25</f>
        <v>0</v>
      </c>
      <c r="I30" s="38">
        <f>I29*100/(6*A25)</f>
        <v>0</v>
      </c>
      <c r="J30" s="38">
        <f>J29*1000/(12*A25)</f>
        <v>0</v>
      </c>
      <c r="K30" s="54" t="s">
        <v>94</v>
      </c>
      <c r="L30" s="28"/>
      <c r="M30" s="28" t="s">
        <v>40</v>
      </c>
      <c r="N30" s="28"/>
      <c r="Q30" s="34"/>
    </row>
    <row r="31" spans="1:43" ht="13.5" x14ac:dyDescent="0.25">
      <c r="A31" s="41">
        <f>B31/10000</f>
        <v>0.13</v>
      </c>
      <c r="B31" s="55">
        <v>1300</v>
      </c>
      <c r="C31" s="45">
        <f>C26+G31</f>
        <v>71.559910654673288</v>
      </c>
      <c r="D31" s="44">
        <f>A25*(D30+E30*(1+LN(A31))-F30/A31^2+2*H30*A31+3*I30*A31^2+4*J30*A31^3)</f>
        <v>106.0057373107135</v>
      </c>
      <c r="E31" s="55">
        <f>A25*(E30+2*F30/A31^2+2*H30*A31+6*I30*A31^2+12*J30*A31^3)</f>
        <v>121.34</v>
      </c>
      <c r="F31" s="45"/>
      <c r="G31" s="44">
        <f>10*A25*(E30*A31-2*F30/A31-G30+H30*A31^2+2*I30*A31^3+3*J30*A31^4)</f>
        <v>71.559910654673288</v>
      </c>
      <c r="H31" s="45"/>
      <c r="I31" s="45"/>
      <c r="J31" s="45"/>
      <c r="K31" s="45"/>
      <c r="L31" s="45"/>
      <c r="M31" s="45" t="s">
        <v>41</v>
      </c>
      <c r="N31" s="28"/>
      <c r="Q31" s="34"/>
      <c r="AG31" s="15">
        <v>8.3145000000000007</v>
      </c>
      <c r="AH31" s="1" t="s">
        <v>146</v>
      </c>
      <c r="AI31" s="24" t="s">
        <v>147</v>
      </c>
      <c r="AJ31" s="25" t="s">
        <v>32</v>
      </c>
      <c r="AK31" s="25" t="s">
        <v>15</v>
      </c>
      <c r="AL31" s="26" t="s">
        <v>16</v>
      </c>
      <c r="AM31" s="5" t="s">
        <v>148</v>
      </c>
      <c r="AN31" s="26" t="s">
        <v>17</v>
      </c>
      <c r="AO31" s="26" t="s">
        <v>18</v>
      </c>
      <c r="AP31" s="26" t="s">
        <v>19</v>
      </c>
    </row>
    <row r="32" spans="1:43" ht="13.5" x14ac:dyDescent="0.25">
      <c r="A32" s="2">
        <f>B32/10000</f>
        <v>0.12889999999999999</v>
      </c>
      <c r="B32" s="51">
        <v>1289</v>
      </c>
      <c r="C32" s="1">
        <v>46.5</v>
      </c>
      <c r="D32" s="50">
        <f>D31+L32</f>
        <v>86.564379161238492</v>
      </c>
      <c r="E32" s="32">
        <v>48.78</v>
      </c>
      <c r="F32" s="32">
        <v>0</v>
      </c>
      <c r="G32" s="33">
        <f>10*A25*(E33*A32-2*F33/A32-G33+H33*A32^2+2*I33*A32^3+3*J33*A32^4)</f>
        <v>46.500000000000007</v>
      </c>
      <c r="H32" s="32">
        <v>0</v>
      </c>
      <c r="I32" s="32">
        <v>0</v>
      </c>
      <c r="J32" s="32">
        <v>0</v>
      </c>
      <c r="K32" s="51">
        <f>C32-C31</f>
        <v>-25.059910654673288</v>
      </c>
      <c r="L32" s="51">
        <f>K32*1000/B32</f>
        <v>-19.441358149475011</v>
      </c>
      <c r="M32" s="28" t="s">
        <v>88</v>
      </c>
      <c r="N32" s="28"/>
      <c r="Q32" s="34"/>
      <c r="AG32" s="29">
        <v>2.9814999999999998E-2</v>
      </c>
      <c r="AH32" s="30">
        <v>-6819.21</v>
      </c>
      <c r="AI32" s="31">
        <f>AH32-AH33</f>
        <v>-6819.21</v>
      </c>
      <c r="AJ32" s="32">
        <f>AK32*(LN(AH34/1000))+AN32*(AH34/1000)+AO32*(AH34/1000)^2/2+AP32*(AH34/1000)^3/3-AL32/(2*(AH34/1000)^2)+519.6737</f>
        <v>718.84863456770063</v>
      </c>
      <c r="AK32" s="32">
        <v>329.85</v>
      </c>
      <c r="AL32" s="32">
        <v>-87.824680000000001</v>
      </c>
      <c r="AM32" s="33">
        <f>10*AG31*(AG32*(AK33-2*AL33/AG32^2+AN33*AG32+2*AO33*AG32^2+3*AP33*AG32^3)-AM33)</f>
        <v>0</v>
      </c>
      <c r="AN32" s="32">
        <v>386.14850000000001</v>
      </c>
      <c r="AO32" s="32">
        <v>-254.57509999999999</v>
      </c>
      <c r="AP32" s="32">
        <v>61.345390000000002</v>
      </c>
      <c r="AQ32" s="28"/>
    </row>
    <row r="33" spans="1:45" ht="13.5" x14ac:dyDescent="0.25">
      <c r="A33" s="36" t="s">
        <v>109</v>
      </c>
      <c r="B33" s="53"/>
      <c r="C33" s="56">
        <f>(C26)/(10*A25)</f>
        <v>0</v>
      </c>
      <c r="D33" s="38">
        <f>D32/A25-E33*(1+LN(A32))+F33/A32^2-2*H33*A32-3*I33*A32^2-4*J33*A32^3</f>
        <v>16.563937843870725</v>
      </c>
      <c r="E33" s="37">
        <f>E32/A25</f>
        <v>5.8668591015695473</v>
      </c>
      <c r="F33" s="38">
        <f>F32/2000/A25</f>
        <v>0</v>
      </c>
      <c r="G33" s="37">
        <f>A32*(E33-2*F33/A32^2+H33*A32+2*I33*A32^2+3*J33*A32^3)+(C26-C32)/10/A25</f>
        <v>0.19697420169583246</v>
      </c>
      <c r="H33" s="38">
        <f>0.5*H32*10/A25</f>
        <v>0</v>
      </c>
      <c r="I33" s="38">
        <f>I32*100/(6*A25)</f>
        <v>0</v>
      </c>
      <c r="J33" s="38">
        <f>J32*1000/(12*A25)</f>
        <v>0</v>
      </c>
      <c r="K33" s="57" t="s">
        <v>94</v>
      </c>
      <c r="L33" s="28"/>
      <c r="M33" s="28" t="s">
        <v>89</v>
      </c>
      <c r="N33" s="28"/>
      <c r="AG33" s="2" t="s">
        <v>181</v>
      </c>
      <c r="AH33" s="30"/>
      <c r="AI33" s="37">
        <f>AI32/(10*AG31)</f>
        <v>-82.015875879487638</v>
      </c>
      <c r="AJ33" s="38">
        <f>AJ32/AG31-AK33*(1+LN(AG32))+AL33/AG32^2-2*AN33*AG32-3*AO33*AG32^2-4*AP33*AG32^3</f>
        <v>167.64942689958798</v>
      </c>
      <c r="AK33" s="37">
        <f>AK32/AG31</f>
        <v>39.671657946960131</v>
      </c>
      <c r="AL33" s="38">
        <f>AL32/2000/AG31</f>
        <v>-5.2814168019724578E-3</v>
      </c>
      <c r="AM33" s="38">
        <f>AG32*(AK33-2*AL33/AG32^2+AN33*AG32+2*AO33*AG32^2+3*AP33*AG32^3)+(AI32-AI32)/10/AG31</f>
        <v>1.7179203660434046</v>
      </c>
      <c r="AN33" s="38">
        <f>0.5*AN32*10/AG31</f>
        <v>232.21390342173311</v>
      </c>
      <c r="AO33" s="38">
        <f>AO32*100/(6*AG31)</f>
        <v>-510.30348587808442</v>
      </c>
      <c r="AP33" s="38">
        <f>AP32*1000/(12*AG31)</f>
        <v>614.84344618838577</v>
      </c>
      <c r="AQ33" s="39" t="s">
        <v>94</v>
      </c>
    </row>
    <row r="34" spans="1:45" ht="13.5" x14ac:dyDescent="0.25">
      <c r="A34" s="46">
        <f>B34/10000</f>
        <v>0.2</v>
      </c>
      <c r="B34" s="45">
        <v>2000</v>
      </c>
      <c r="C34" s="45">
        <f>C26+G34</f>
        <v>81.182580000000016</v>
      </c>
      <c r="D34" s="44">
        <f>A25*(D33+E33*(1+LN(A34))-F33/A34^2+2*H33*A34+3*I33*A34^2+4*J33*A34^3)</f>
        <v>107.99247983432775</v>
      </c>
      <c r="E34" s="55">
        <f>A25*(E33+2*F33/A34^2+2*H33*A34+6*I33*A34^2+12*J33*A34^3)</f>
        <v>48.78</v>
      </c>
      <c r="F34" s="45"/>
      <c r="G34" s="44">
        <f>10*A25*(E33*A34-2*F33/A34-G33+H33*A34^2+2*I33*A34^3+3*J33*A34^4)</f>
        <v>81.182580000000016</v>
      </c>
      <c r="H34" s="45"/>
      <c r="I34" s="45"/>
      <c r="J34" s="45"/>
      <c r="K34" s="45"/>
      <c r="L34" s="28"/>
      <c r="M34" s="28" t="s">
        <v>41</v>
      </c>
      <c r="N34" s="28"/>
      <c r="AG34" s="41">
        <f>AH34/10000</f>
        <v>2.9814999999999998E-2</v>
      </c>
      <c r="AH34" s="42">
        <v>298.14999999999998</v>
      </c>
      <c r="AI34" s="43">
        <f>AI32+AM34</f>
        <v>-6819.21</v>
      </c>
      <c r="AJ34" s="79">
        <f>AG31*(AJ33+AK33*(1+LN(AG34))-AL33/AG34^2+2*AN33*AG34+3*AO33*AG34^2+4*AP33*AG34^3)</f>
        <v>718.84863456770074</v>
      </c>
      <c r="AK34" s="79">
        <f>AG31*(AK33+2*AL33/AG34^2+2*AN33*AG34+6*AO33*AG34^2+12*AP33*AG34^3)</f>
        <v>325.17826942390599</v>
      </c>
      <c r="AL34" s="45"/>
      <c r="AM34" s="44">
        <f>10*AG31*(AG34*(AK33-2*AL33/AG34^2+AN33*AG34+2*AO33*AG34^2+3*AP33*AG34^3)-AM33)</f>
        <v>0</v>
      </c>
      <c r="AN34" s="45"/>
      <c r="AO34" s="45"/>
      <c r="AP34" s="45"/>
      <c r="AQ34" s="45"/>
    </row>
    <row r="35" spans="1:45" ht="13.5" x14ac:dyDescent="0.25">
      <c r="A35" s="58"/>
      <c r="B35" s="59"/>
      <c r="C35" s="59"/>
      <c r="D35" s="60"/>
      <c r="E35" s="61"/>
      <c r="F35" s="59"/>
      <c r="G35" s="60"/>
      <c r="H35" s="59"/>
      <c r="I35" s="59"/>
      <c r="J35" s="59"/>
      <c r="K35" s="59"/>
      <c r="L35" s="28"/>
      <c r="M35" s="28"/>
      <c r="N35" s="28"/>
      <c r="Q35" s="47" t="s">
        <v>49</v>
      </c>
      <c r="R35" s="48" t="s">
        <v>149</v>
      </c>
      <c r="S35" s="48" t="s">
        <v>150</v>
      </c>
      <c r="T35" s="48" t="s">
        <v>151</v>
      </c>
      <c r="U35" s="48" t="s">
        <v>152</v>
      </c>
      <c r="V35" s="48" t="s">
        <v>153</v>
      </c>
      <c r="W35" s="48" t="s">
        <v>154</v>
      </c>
      <c r="X35" s="48" t="s">
        <v>155</v>
      </c>
    </row>
    <row r="36" spans="1:45" ht="13.5" x14ac:dyDescent="0.25">
      <c r="A36" s="58"/>
      <c r="B36" s="59"/>
      <c r="C36" s="59"/>
      <c r="D36" s="60"/>
      <c r="E36" s="61"/>
      <c r="F36" s="59"/>
      <c r="G36" s="60"/>
      <c r="H36" s="59"/>
      <c r="I36" s="59"/>
      <c r="J36" s="59"/>
      <c r="K36" s="59"/>
      <c r="L36" s="28"/>
      <c r="M36" s="28"/>
      <c r="N36" s="28"/>
      <c r="P36" s="2" t="s">
        <v>46</v>
      </c>
      <c r="Q36" s="34">
        <v>0</v>
      </c>
      <c r="R36" s="2">
        <v>15.302904564315352</v>
      </c>
      <c r="S36" s="2">
        <v>3.1309278970473269</v>
      </c>
      <c r="T36" s="2">
        <v>3.1078236815202352E-5</v>
      </c>
      <c r="U36" s="2">
        <v>8.5813939503277398E-3</v>
      </c>
      <c r="V36" s="2">
        <v>-7.0912261711467917</v>
      </c>
      <c r="W36" s="2">
        <v>81.712670635636528</v>
      </c>
      <c r="X36" s="2">
        <v>0</v>
      </c>
      <c r="AG36" s="15">
        <v>8.3145000000000007</v>
      </c>
      <c r="AH36" s="1" t="s">
        <v>146</v>
      </c>
      <c r="AI36" s="24" t="s">
        <v>147</v>
      </c>
      <c r="AJ36" s="25" t="s">
        <v>32</v>
      </c>
      <c r="AK36" s="25" t="s">
        <v>15</v>
      </c>
      <c r="AL36" s="26" t="s">
        <v>16</v>
      </c>
      <c r="AM36" s="5" t="s">
        <v>148</v>
      </c>
      <c r="AN36" s="26" t="s">
        <v>17</v>
      </c>
      <c r="AO36" s="26" t="s">
        <v>18</v>
      </c>
      <c r="AP36" s="26" t="s">
        <v>19</v>
      </c>
    </row>
    <row r="37" spans="1:45" ht="13.5" x14ac:dyDescent="0.25">
      <c r="O37" s="8"/>
      <c r="P37" s="2" t="s">
        <v>48</v>
      </c>
      <c r="Q37" s="34">
        <v>0</v>
      </c>
      <c r="R37" s="2">
        <v>28.54410968789464</v>
      </c>
      <c r="S37" s="2">
        <v>8.6997414155992541</v>
      </c>
      <c r="T37" s="35">
        <v>-3.2629743219676466E-3</v>
      </c>
      <c r="U37" s="35">
        <v>0.3292224427205484</v>
      </c>
      <c r="V37" s="2">
        <v>-39.133321306151906</v>
      </c>
      <c r="W37" s="2">
        <v>60.271814300318717</v>
      </c>
      <c r="X37" s="2">
        <v>0</v>
      </c>
      <c r="AG37" s="29">
        <v>2.9814999999999998E-2</v>
      </c>
      <c r="AH37" s="30">
        <v>-905.5</v>
      </c>
      <c r="AI37" s="31">
        <f>AH37-AH38</f>
        <v>-905.5</v>
      </c>
      <c r="AJ37" s="32">
        <v>47.86</v>
      </c>
      <c r="AK37" s="32">
        <v>72.774820000000005</v>
      </c>
      <c r="AL37" s="32">
        <v>-41.40645</v>
      </c>
      <c r="AM37" s="33">
        <f>10*AG36*(AG37*(AK38-2*AL38/AG37^2+AN38*AG37+2*AO38*AG37^2+3*AP38*AG37^3)-AM38)</f>
        <v>0</v>
      </c>
      <c r="AN37" s="32">
        <f>1.293543</f>
        <v>1.2935430000000001</v>
      </c>
      <c r="AO37" s="32">
        <f>-0.00436</f>
        <v>-4.3600000000000002E-3</v>
      </c>
      <c r="AP37" s="32">
        <v>7.9799999999999999E-4</v>
      </c>
      <c r="AQ37" s="28"/>
    </row>
    <row r="38" spans="1:45" ht="13.5" x14ac:dyDescent="0.25">
      <c r="A38" s="15">
        <v>8.3145000000000007</v>
      </c>
      <c r="B38" s="1" t="s">
        <v>146</v>
      </c>
      <c r="C38" s="24" t="s">
        <v>147</v>
      </c>
      <c r="D38" s="25" t="s">
        <v>32</v>
      </c>
      <c r="E38" s="25" t="s">
        <v>15</v>
      </c>
      <c r="F38" s="26" t="s">
        <v>16</v>
      </c>
      <c r="G38" s="5" t="s">
        <v>148</v>
      </c>
      <c r="H38" s="26" t="s">
        <v>17</v>
      </c>
      <c r="I38" s="26" t="s">
        <v>18</v>
      </c>
      <c r="J38" s="26" t="s">
        <v>19</v>
      </c>
      <c r="P38" s="2" t="s">
        <v>50</v>
      </c>
      <c r="Q38" s="34">
        <v>0</v>
      </c>
      <c r="R38" s="2">
        <v>17.357387696193395</v>
      </c>
      <c r="S38" s="2">
        <v>4.3418365506043655</v>
      </c>
      <c r="T38" s="2">
        <v>0</v>
      </c>
      <c r="U38" s="35">
        <v>7.9776294425401406E-2</v>
      </c>
      <c r="V38" s="2">
        <v>0</v>
      </c>
      <c r="W38" s="2">
        <v>0</v>
      </c>
      <c r="X38" s="2">
        <v>0</v>
      </c>
      <c r="AG38" s="36" t="s">
        <v>192</v>
      </c>
      <c r="AH38" s="30"/>
      <c r="AI38" s="37">
        <f>AI37/(10*AG36)</f>
        <v>-10.890612784893859</v>
      </c>
      <c r="AJ38" s="38">
        <f>AJ37/AG36-AK38*(1+LN(AG37))+AL38/AG37^2-2*AN38*AG37-3*AO38*AG37^2-4*AP38*AG37^3</f>
        <v>24.902164162386335</v>
      </c>
      <c r="AK38" s="37">
        <f>AK37/AG36</f>
        <v>8.7527596367791212</v>
      </c>
      <c r="AL38" s="38">
        <f>AL37/2000/AG36</f>
        <v>-2.4900144326177156E-3</v>
      </c>
      <c r="AM38" s="38">
        <f>AG37*(AK38-2*AL38/AG37^2+AN38*AG37+2*AO38*AG37^2+3*AP38*AG37^3)+(AI37-AI37)/10/AG36</f>
        <v>0.42868555840180267</v>
      </c>
      <c r="AN38" s="38">
        <f>0.5*AN37*10/AG36</f>
        <v>0.77788381742738588</v>
      </c>
      <c r="AO38" s="38">
        <f>AO37*100/(6*AG36)</f>
        <v>-8.739751839156493E-3</v>
      </c>
      <c r="AP38" s="38">
        <f>AP37*1000/(12*AG36)</f>
        <v>7.9980756509711957E-3</v>
      </c>
      <c r="AQ38" s="39" t="s">
        <v>94</v>
      </c>
    </row>
    <row r="39" spans="1:45" ht="13.5" x14ac:dyDescent="0.25">
      <c r="A39" s="29">
        <v>2.9814999999999998E-2</v>
      </c>
      <c r="B39" s="30">
        <v>-1814.5</v>
      </c>
      <c r="C39" s="31">
        <f>B39-B40</f>
        <v>-1814.5</v>
      </c>
      <c r="D39" s="32">
        <v>133.1</v>
      </c>
      <c r="E39" s="32">
        <v>133.12</v>
      </c>
      <c r="F39" s="32">
        <v>-15.9</v>
      </c>
      <c r="G39" s="33">
        <f>10*A38*(A39*(E40-2*F40/A39^2+H40*A39+2*I40*A39^2+3*J40*A39^3)-G40)</f>
        <v>0</v>
      </c>
      <c r="H39" s="32">
        <v>0.26</v>
      </c>
      <c r="I39" s="32">
        <v>0</v>
      </c>
      <c r="J39" s="32">
        <v>0</v>
      </c>
      <c r="K39" s="28"/>
      <c r="P39" s="2" t="s">
        <v>51</v>
      </c>
      <c r="Q39" s="34">
        <v>0</v>
      </c>
      <c r="R39" s="2">
        <v>18.29911600216489</v>
      </c>
      <c r="S39" s="2">
        <v>4.4260268206145881</v>
      </c>
      <c r="T39" s="2">
        <v>0</v>
      </c>
      <c r="U39" s="35">
        <v>3.1150399903782547E-3</v>
      </c>
      <c r="V39" s="2">
        <v>0</v>
      </c>
      <c r="W39" s="2">
        <v>0</v>
      </c>
      <c r="X39" s="2">
        <v>0</v>
      </c>
      <c r="AG39" s="41">
        <f>AH39/10000</f>
        <v>0.11</v>
      </c>
      <c r="AH39" s="42">
        <v>1100</v>
      </c>
      <c r="AI39" s="43">
        <f>AI37+AM39</f>
        <v>-856.54558480976186</v>
      </c>
      <c r="AJ39" s="79">
        <f>AG36*(AJ38+AK38*(1+LN(AG39))-AL38/AG39^2+2*AN38*AG39+3*AO38*AG39^2+4*AP38*AG39^3)</f>
        <v>122.32145330684216</v>
      </c>
      <c r="AK39" s="79">
        <f>AG36*(AK38+2*AL38/AG39^2+2*AN38*AG39+6*AO38*AG39^2+12*AP38*AG39^3)</f>
        <v>70.771483176842992</v>
      </c>
      <c r="AL39" s="45"/>
      <c r="AM39" s="44">
        <f>10*AG36*(AG39*(AK38-2*AL38/AG39^2+AN38*AG39+2*AO38*AG39^2+3*AP38*AG39^3)-AM38)</f>
        <v>48.954415190238151</v>
      </c>
      <c r="AN39" s="45"/>
      <c r="AO39" s="45"/>
      <c r="AP39" s="45"/>
      <c r="AQ39" s="45"/>
    </row>
    <row r="40" spans="1:45" ht="13.5" x14ac:dyDescent="0.25">
      <c r="A40" s="36" t="s">
        <v>112</v>
      </c>
      <c r="B40" s="30"/>
      <c r="C40" s="37">
        <f>C39/(10*A38)</f>
        <v>-21.823320704792827</v>
      </c>
      <c r="D40" s="38">
        <f>D39/A38-E40*(1+LN(A39))+F40/A39^2-2*H40*A39-3*I40*A39^2-4*J40*A39^3</f>
        <v>55.153722133242368</v>
      </c>
      <c r="E40" s="37">
        <f>E39/A38</f>
        <v>16.010583919658426</v>
      </c>
      <c r="F40" s="38">
        <f>F39/2000/A38</f>
        <v>-9.5616092368753386E-4</v>
      </c>
      <c r="G40" s="38">
        <f>A39*(E40-2*F40/A39^2+H40*A39+2*I40*A39^2+3*J40*A39^3)+(C39-C39)/10/A38</f>
        <v>0.54163413646120673</v>
      </c>
      <c r="H40" s="38">
        <f>0.5*H39*10/A38</f>
        <v>0.15635335859041433</v>
      </c>
      <c r="I40" s="38">
        <f>I39*100/(6*A38)</f>
        <v>0</v>
      </c>
      <c r="J40" s="38">
        <f>J39*1000/(12*A38)</f>
        <v>0</v>
      </c>
      <c r="K40" s="39" t="s">
        <v>94</v>
      </c>
      <c r="Q40" s="4"/>
      <c r="U40" s="35"/>
    </row>
    <row r="41" spans="1:45" ht="16.5" x14ac:dyDescent="0.25">
      <c r="A41" s="41">
        <f>B41/10000</f>
        <v>0.13650000000000001</v>
      </c>
      <c r="B41" s="42">
        <v>1365</v>
      </c>
      <c r="C41" s="43">
        <f>C39+G41</f>
        <v>-1676.4183158612318</v>
      </c>
      <c r="D41" s="44">
        <f>A38*(D40+E40*(1+LN(A41))-F40/A41^2+2*H40*A41+3*I40*A41^2+4*J40*A41^3)</f>
        <v>327.37795218518227</v>
      </c>
      <c r="E41" s="44">
        <f>A38*(E40+2*F40/A41^2+2*H40*A41+6*I40*A41^2+12*J40*A41^3)</f>
        <v>132.62154090488266</v>
      </c>
      <c r="F41" s="45"/>
      <c r="G41" s="44">
        <f>10*A38*(A41*(E40-2*F40/A41^2+H40*A41+2*I40*A41^2+3*J40*A41^3)-G40)</f>
        <v>138.08168413876814</v>
      </c>
      <c r="H41" s="45"/>
      <c r="I41" s="45"/>
      <c r="J41" s="45"/>
      <c r="K41" s="45"/>
      <c r="P41" s="2" t="s">
        <v>52</v>
      </c>
      <c r="Q41" s="34">
        <v>1.83406097780985</v>
      </c>
      <c r="R41" s="2">
        <v>26.523904023092186</v>
      </c>
      <c r="S41" s="2">
        <v>2.2994046545192135</v>
      </c>
      <c r="T41" s="2">
        <v>4.6220458235612481E-5</v>
      </c>
      <c r="U41" s="35">
        <v>-7.462866077334776E-3</v>
      </c>
      <c r="V41" s="2">
        <v>2.1927957183234108</v>
      </c>
      <c r="W41" s="2">
        <v>-5.0294064585964273</v>
      </c>
      <c r="X41" s="2">
        <v>5.4218533886583673</v>
      </c>
      <c r="AR41" s="80" t="s">
        <v>182</v>
      </c>
      <c r="AS41" s="81" t="s">
        <v>183</v>
      </c>
    </row>
    <row r="42" spans="1:45" ht="16.5" x14ac:dyDescent="0.25">
      <c r="M42" s="58"/>
      <c r="P42" s="2" t="s">
        <v>53</v>
      </c>
      <c r="Q42" s="34">
        <v>1.83406097780985</v>
      </c>
      <c r="R42" s="2">
        <v>164.39437127909073</v>
      </c>
      <c r="S42" s="2">
        <v>109.73023032052437</v>
      </c>
      <c r="T42" s="2">
        <v>-0.77731673582295979</v>
      </c>
      <c r="U42" s="2">
        <v>20.580912863070537</v>
      </c>
      <c r="V42" s="2">
        <v>-272.5332852246076</v>
      </c>
      <c r="W42" s="2">
        <v>165.65036983582897</v>
      </c>
      <c r="X42" s="2">
        <v>-48.68843586505502</v>
      </c>
      <c r="AR42" s="80" t="s">
        <v>184</v>
      </c>
      <c r="AS42" s="81">
        <v>72.774820000000005</v>
      </c>
    </row>
    <row r="43" spans="1:45" ht="16.5" x14ac:dyDescent="0.25">
      <c r="A43" s="15">
        <v>8.3145000000000007</v>
      </c>
      <c r="B43" s="1" t="s">
        <v>146</v>
      </c>
      <c r="C43" s="24" t="s">
        <v>147</v>
      </c>
      <c r="D43" s="25" t="s">
        <v>32</v>
      </c>
      <c r="E43" s="25" t="s">
        <v>15</v>
      </c>
      <c r="F43" s="26" t="s">
        <v>16</v>
      </c>
      <c r="G43" s="5" t="s">
        <v>148</v>
      </c>
      <c r="H43" s="26" t="s">
        <v>17</v>
      </c>
      <c r="I43" s="26" t="s">
        <v>18</v>
      </c>
      <c r="J43" s="26" t="s">
        <v>19</v>
      </c>
      <c r="Q43" s="4"/>
      <c r="AR43" s="80" t="s">
        <v>185</v>
      </c>
      <c r="AS43" s="81">
        <v>1.2935430000000001</v>
      </c>
    </row>
    <row r="44" spans="1:45" ht="16.5" x14ac:dyDescent="0.25">
      <c r="A44" s="29">
        <v>2.9814999999999998E-2</v>
      </c>
      <c r="B44" s="62">
        <v>-693.8</v>
      </c>
      <c r="C44" s="63">
        <f>B44-B45</f>
        <v>-693.8</v>
      </c>
      <c r="D44" s="64">
        <v>236.5</v>
      </c>
      <c r="E44" s="64">
        <v>154.81</v>
      </c>
      <c r="F44" s="64">
        <v>0</v>
      </c>
      <c r="G44" s="29">
        <f>10*A43*(A44*(E45-2*F45/A44^2+H45*A44+2*I45*A44^2+3*J45*A44^3)-G45)</f>
        <v>0</v>
      </c>
      <c r="H44" s="64">
        <v>0</v>
      </c>
      <c r="I44" s="64">
        <v>0</v>
      </c>
      <c r="J44" s="64">
        <v>0</v>
      </c>
      <c r="P44" s="2" t="s">
        <v>54</v>
      </c>
      <c r="Q44" s="34">
        <v>6.0592940044500568E-2</v>
      </c>
      <c r="R44" s="2">
        <v>43.298815322629139</v>
      </c>
      <c r="S44" s="2">
        <v>6.0656323290636829</v>
      </c>
      <c r="T44" s="35">
        <v>6.3596127247579528E-4</v>
      </c>
      <c r="U44" s="2">
        <v>0.10973480064946779</v>
      </c>
      <c r="V44" s="2">
        <v>-2.358169462986349</v>
      </c>
      <c r="W44" s="2">
        <v>1.9832822178122553</v>
      </c>
      <c r="X44" s="2">
        <v>-0.19002946659450357</v>
      </c>
      <c r="AK44" s="8" t="s">
        <v>22</v>
      </c>
      <c r="AL44" s="23" t="s">
        <v>26</v>
      </c>
      <c r="AM44" s="10"/>
      <c r="AN44" s="10" t="s">
        <v>23</v>
      </c>
      <c r="AO44" s="10" t="s">
        <v>24</v>
      </c>
      <c r="AP44" s="10" t="s">
        <v>25</v>
      </c>
      <c r="AR44" s="80" t="s">
        <v>186</v>
      </c>
      <c r="AS44" s="81">
        <v>-4.3600000000000002E-3</v>
      </c>
    </row>
    <row r="45" spans="1:45" ht="16.5" x14ac:dyDescent="0.25">
      <c r="A45" s="65" t="s">
        <v>34</v>
      </c>
      <c r="B45" s="62"/>
      <c r="C45" s="37">
        <f>C44/(10*A43)</f>
        <v>-8.3444584761561114</v>
      </c>
      <c r="D45" s="38">
        <f>D44/A43-E45*(1+LN(A44))+F45/A44^2-2*H45*A44-3*I45*A44^2-4*J45*A44^3</f>
        <v>75.229760713016788</v>
      </c>
      <c r="E45" s="37">
        <f>E44/A43</f>
        <v>18.61927957183234</v>
      </c>
      <c r="F45" s="38">
        <f>F44/2000/A43</f>
        <v>0</v>
      </c>
      <c r="G45" s="38">
        <f>A44*(E45-2*F45/A44^2+H45*A44+2*I45*A44^2+3*J45*A44^3)+(C44-C44)/10/A43</f>
        <v>0.55513382043418114</v>
      </c>
      <c r="H45" s="38">
        <f>0.5*H44*10/A43</f>
        <v>0</v>
      </c>
      <c r="I45" s="38">
        <f>I44*100/(6*A43)</f>
        <v>0</v>
      </c>
      <c r="J45" s="38">
        <f>J44*1000/(12*A43)</f>
        <v>0</v>
      </c>
      <c r="K45" s="66" t="s">
        <v>156</v>
      </c>
      <c r="P45" s="2" t="s">
        <v>55</v>
      </c>
      <c r="Q45" s="34">
        <v>6.0592940044500568E-2</v>
      </c>
      <c r="R45" s="2">
        <v>36.806783330326532</v>
      </c>
      <c r="S45" s="2">
        <v>-0.56067111672379566</v>
      </c>
      <c r="T45" s="35">
        <v>7.5037584941968841E-2</v>
      </c>
      <c r="U45" s="2">
        <v>-1.5360153947922304</v>
      </c>
      <c r="V45" s="2">
        <v>9.3189007156172945</v>
      </c>
      <c r="W45" s="2">
        <v>-1.8953635215587226</v>
      </c>
      <c r="X45" s="2">
        <v>0</v>
      </c>
      <c r="AG45" s="15">
        <v>8.3145000000000007</v>
      </c>
      <c r="AH45" s="1" t="s">
        <v>146</v>
      </c>
      <c r="AI45" s="24" t="s">
        <v>147</v>
      </c>
      <c r="AJ45" s="25" t="s">
        <v>32</v>
      </c>
      <c r="AK45" s="25" t="s">
        <v>15</v>
      </c>
      <c r="AL45" s="26" t="s">
        <v>16</v>
      </c>
      <c r="AM45" s="5" t="s">
        <v>148</v>
      </c>
      <c r="AN45" s="26" t="s">
        <v>17</v>
      </c>
      <c r="AO45" s="26" t="s">
        <v>18</v>
      </c>
      <c r="AP45" s="26" t="s">
        <v>19</v>
      </c>
      <c r="AR45" s="80" t="s">
        <v>187</v>
      </c>
      <c r="AS45" s="81">
        <v>7.9799999999999999E-4</v>
      </c>
    </row>
    <row r="46" spans="1:45" ht="16.5" x14ac:dyDescent="0.25">
      <c r="A46" s="41">
        <f>B46/10000</f>
        <v>3.3000000000000002E-2</v>
      </c>
      <c r="B46" s="67">
        <v>330</v>
      </c>
      <c r="C46" s="68">
        <f>C44+G46</f>
        <v>-688.86930149999989</v>
      </c>
      <c r="D46" s="41">
        <f>A43*(D45+E45*(1+LN(A46))-F45/A46^2+2*H45*A46+3*I45*A46^2+4*J45*A46^3)</f>
        <v>252.21258629977933</v>
      </c>
      <c r="E46" s="41">
        <f>A43*(E45+2*F45/A46^2+2*H45*A46+6*I45*A46^2+12*J45*A46^3)</f>
        <v>154.81</v>
      </c>
      <c r="F46" s="46"/>
      <c r="G46" s="41">
        <f>10*A43*(A46*(E45-2*F45/A46^2+H45*A46+2*I45*A46^2+3*J45*A46^3)-G45)</f>
        <v>4.9306985000000143</v>
      </c>
      <c r="H46" s="46"/>
      <c r="I46" s="46"/>
      <c r="J46" s="46"/>
      <c r="K46" s="46"/>
      <c r="L46" s="46"/>
      <c r="Q46" s="4"/>
      <c r="T46" s="35"/>
      <c r="AG46" s="29">
        <v>2.9814999999999998E-2</v>
      </c>
      <c r="AH46" s="30">
        <v>-908.3</v>
      </c>
      <c r="AI46" s="31">
        <f>AH46-AH47</f>
        <v>-908.3</v>
      </c>
      <c r="AJ46" s="32">
        <v>47.86</v>
      </c>
      <c r="AK46" s="32">
        <v>71.63</v>
      </c>
      <c r="AL46" s="32">
        <v>-3.91</v>
      </c>
      <c r="AM46" s="33">
        <f>10*AG45*(AG46*(AK47-2*AL47/AG46^2+AN47*AG46+2*AO47*AG46^2+3*AP47*AG46^3)-AM47)</f>
        <v>0</v>
      </c>
      <c r="AN46" s="32">
        <v>1.88</v>
      </c>
      <c r="AO46" s="32">
        <v>0</v>
      </c>
      <c r="AP46" s="32">
        <v>0</v>
      </c>
      <c r="AQ46" s="28"/>
      <c r="AR46" s="80" t="s">
        <v>188</v>
      </c>
      <c r="AS46" s="81">
        <v>-4.1406450000000001</v>
      </c>
    </row>
    <row r="47" spans="1:45" ht="16.5" x14ac:dyDescent="0.25">
      <c r="A47" s="29">
        <f>B47/10000</f>
        <v>3.3000000000000002E-2</v>
      </c>
      <c r="B47" s="67">
        <v>330</v>
      </c>
      <c r="C47" s="69">
        <v>-659.8</v>
      </c>
      <c r="D47" s="70">
        <f>D46+L47</f>
        <v>340.30137872402156</v>
      </c>
      <c r="E47" s="64">
        <v>106.53</v>
      </c>
      <c r="F47" s="64">
        <v>-14.7</v>
      </c>
      <c r="G47" s="29">
        <f>10*A43*(E48*A47-2*F48/A47-G48+H48*A47^2+2*I48*A47^3+3*J48*A47^4)</f>
        <v>33.999999999999993</v>
      </c>
      <c r="H47" s="64">
        <v>0.75</v>
      </c>
      <c r="I47" s="64">
        <v>0</v>
      </c>
      <c r="J47" s="64">
        <v>0</v>
      </c>
      <c r="K47" s="71">
        <f>C47-C46</f>
        <v>29.069301499999938</v>
      </c>
      <c r="L47" s="71">
        <f>K47*1000/B47</f>
        <v>88.088792424242229</v>
      </c>
      <c r="P47" s="2" t="s">
        <v>57</v>
      </c>
      <c r="Q47" s="34">
        <v>-21.824523422935833</v>
      </c>
      <c r="R47" s="2">
        <v>54.255457333573879</v>
      </c>
      <c r="S47" s="2">
        <v>15.657598171868422</v>
      </c>
      <c r="T47" s="35">
        <v>-8.5355703890793179E-4</v>
      </c>
      <c r="U47" s="2">
        <v>0.2900198448493595</v>
      </c>
      <c r="V47" s="2">
        <v>2.2816765890913464</v>
      </c>
      <c r="W47" s="2">
        <v>0</v>
      </c>
      <c r="X47" s="2">
        <v>0</v>
      </c>
      <c r="AG47" s="36" t="s">
        <v>192</v>
      </c>
      <c r="AH47" s="30"/>
      <c r="AI47" s="37">
        <f>AI46/(10*AG45)</f>
        <v>-10.924288892897948</v>
      </c>
      <c r="AJ47" s="38">
        <f>AJ46/AG45-AK47*(1+LN(AG46))+AL47/AG46^2-2*AN47*AG46-3*AO47*AG46^2-4*AP47*AG46^3</f>
        <v>27.071747342319476</v>
      </c>
      <c r="AK47" s="37">
        <f>AK46/AG45</f>
        <v>8.6150700583318294</v>
      </c>
      <c r="AL47" s="38">
        <f>AL46/2000/AG45</f>
        <v>-2.3513139695712309E-4</v>
      </c>
      <c r="AM47" s="38">
        <f>AG46*(AK47-2*AL47/AG46^2+AN47*AG46+2*AO47*AG46^2+3*AP47*AG46^3)+(AI46-AI46)/10/AG45</f>
        <v>0.27363599426435847</v>
      </c>
      <c r="AN47" s="38">
        <f>0.5*AN46*10/AG45</f>
        <v>1.1305550544229956</v>
      </c>
      <c r="AO47" s="38">
        <f>AO46*100/(6*AG45)</f>
        <v>0</v>
      </c>
      <c r="AP47" s="38">
        <f>AP46*1000/(12*AG45)</f>
        <v>0</v>
      </c>
      <c r="AQ47" s="39" t="s">
        <v>94</v>
      </c>
      <c r="AR47" s="80" t="s">
        <v>189</v>
      </c>
      <c r="AS47" s="81">
        <v>-941.13639999999998</v>
      </c>
    </row>
    <row r="48" spans="1:45" ht="16.5" x14ac:dyDescent="0.25">
      <c r="A48" s="72" t="s">
        <v>33</v>
      </c>
      <c r="B48" s="73"/>
      <c r="C48" s="37">
        <f>(C44)/(10*A43)</f>
        <v>-8.3444584761561114</v>
      </c>
      <c r="D48" s="38">
        <f>D47/A43-E48*(1+LN(A47))+F48/A47^2-2*H48*A47-3*I48*A47^2-4*J48*A47^3</f>
        <v>70.981392359877162</v>
      </c>
      <c r="E48" s="37">
        <f>E47/A43</f>
        <v>12.812556377412953</v>
      </c>
      <c r="F48" s="38">
        <f>F47/2000/A43</f>
        <v>-8.8399783510734252E-4</v>
      </c>
      <c r="G48" s="37">
        <f>A47*(E48-2*F48/A47^2+H48*A47+2*I48*A47^2+3*J48*A47^3)+(C44-C47)/10/A43</f>
        <v>6.7956978225334808E-2</v>
      </c>
      <c r="H48" s="38">
        <f>0.5*H47*10/A43</f>
        <v>0.45101930362619519</v>
      </c>
      <c r="I48" s="38">
        <f>I47*100/(6*A43)</f>
        <v>0</v>
      </c>
      <c r="J48" s="38">
        <f>J47*1000/(12*A43)</f>
        <v>0</v>
      </c>
      <c r="P48" s="2" t="s">
        <v>56</v>
      </c>
      <c r="Q48" s="34">
        <v>-21.824523422935833</v>
      </c>
      <c r="R48" s="2">
        <v>56.641409585663595</v>
      </c>
      <c r="S48" s="2">
        <v>19.243526369595283</v>
      </c>
      <c r="T48" s="2">
        <v>0</v>
      </c>
      <c r="U48" s="2">
        <v>1.0767454447050333</v>
      </c>
      <c r="V48" s="2">
        <v>0</v>
      </c>
      <c r="W48" s="2">
        <v>0</v>
      </c>
      <c r="X48" s="2">
        <v>0</v>
      </c>
      <c r="AG48" s="41">
        <f>AH48/10000</f>
        <v>0.11</v>
      </c>
      <c r="AH48" s="42">
        <v>1100</v>
      </c>
      <c r="AI48" s="43">
        <f>AI46+AM48</f>
        <v>-850.76561019765552</v>
      </c>
      <c r="AJ48" s="44">
        <f>AG45*(AJ47+AK47*(1+LN(AG48))-AL47/AG48^2+2*AN47*AG48+3*AO47*AG48^2+4*AP47*AG48^3)</f>
        <v>140.84051149386949</v>
      </c>
      <c r="AK48" s="44">
        <f>AG45*(AK47+2*AL47/AG48^2+2*AN47*AG48+6*AO47*AG48^2+12*AP47*AG48^3)</f>
        <v>73.374859504132232</v>
      </c>
      <c r="AL48" s="45"/>
      <c r="AM48" s="44">
        <f>10*AG45*(AG48*(AK47-2*AL47/AG48^2+AN47*AG48+2*AO47*AG48^2+3*AP47*AG48^3)-AM47)</f>
        <v>57.534389802344464</v>
      </c>
      <c r="AN48" s="45"/>
      <c r="AO48" s="45"/>
      <c r="AP48" s="45"/>
      <c r="AQ48" s="45"/>
      <c r="AR48" s="80" t="s">
        <v>190</v>
      </c>
      <c r="AS48" s="81">
        <v>114.437</v>
      </c>
    </row>
    <row r="49" spans="1:46" ht="16.5" x14ac:dyDescent="0.25">
      <c r="A49" s="29">
        <f>B49/10000</f>
        <v>0.2</v>
      </c>
      <c r="B49" s="8">
        <v>2000</v>
      </c>
      <c r="C49" s="2">
        <f>C44+G49</f>
        <v>-484.15528295454533</v>
      </c>
      <c r="D49" s="29">
        <f>A43*(D48+E48*(1+LN(A49))-F48/A49^2+2*H48*A49+3*I48*A49^2+4*J48*A49^3)</f>
        <v>526.93511596459405</v>
      </c>
      <c r="E49" s="8">
        <f>A43*(E48+2*F48/A49^2+2*H48*A49+6*I48*A49^2+12*J48*A49^3)</f>
        <v>107.66250000000001</v>
      </c>
      <c r="G49" s="29">
        <f>10*A43*(E48*A49-2*F48/A49-G48+H48*A49^2+2*I48*A49^3+3*J48*A49^4)</f>
        <v>209.6447170454546</v>
      </c>
      <c r="P49" s="2" t="s">
        <v>58</v>
      </c>
      <c r="Q49" s="34">
        <v>-21.824523422935833</v>
      </c>
      <c r="R49" s="2">
        <v>63.8891093872151</v>
      </c>
      <c r="S49" s="2">
        <v>24.054398941608035</v>
      </c>
      <c r="T49" s="2">
        <v>0</v>
      </c>
      <c r="U49" s="2">
        <v>0.81599615130194236</v>
      </c>
      <c r="V49" s="2">
        <v>0</v>
      </c>
      <c r="W49" s="2">
        <v>0</v>
      </c>
      <c r="X49" s="2">
        <v>0</v>
      </c>
      <c r="AR49" s="80" t="s">
        <v>191</v>
      </c>
      <c r="AS49" s="81">
        <v>-905.48869999999999</v>
      </c>
    </row>
    <row r="50" spans="1:46" x14ac:dyDescent="0.2">
      <c r="AT50" s="2" t="s">
        <v>193</v>
      </c>
    </row>
    <row r="51" spans="1:46" ht="13.5" x14ac:dyDescent="0.25">
      <c r="A51" s="15">
        <v>8.3145000000000007</v>
      </c>
      <c r="B51" s="1" t="s">
        <v>146</v>
      </c>
      <c r="C51" s="24" t="s">
        <v>147</v>
      </c>
      <c r="D51" s="25" t="s">
        <v>32</v>
      </c>
      <c r="E51" s="25" t="s">
        <v>15</v>
      </c>
      <c r="F51" s="26" t="s">
        <v>16</v>
      </c>
      <c r="G51" s="5" t="s">
        <v>148</v>
      </c>
      <c r="H51" s="26" t="s">
        <v>17</v>
      </c>
      <c r="I51" s="26" t="s">
        <v>18</v>
      </c>
      <c r="J51" s="26" t="s">
        <v>19</v>
      </c>
      <c r="P51" s="2" t="s">
        <v>64</v>
      </c>
      <c r="Q51" s="34">
        <v>0</v>
      </c>
      <c r="R51" s="2">
        <v>16.724036322087915</v>
      </c>
      <c r="S51" s="2">
        <v>3.1735041193096394</v>
      </c>
      <c r="T51" s="2">
        <v>-5.5493415118167053E-5</v>
      </c>
      <c r="U51" s="2">
        <v>1.1803475855433279E-2</v>
      </c>
      <c r="V51" s="2">
        <v>2.0178002285164469</v>
      </c>
      <c r="W51" s="2">
        <v>5.8848998737145948</v>
      </c>
      <c r="X51" s="2">
        <v>0</v>
      </c>
    </row>
    <row r="52" spans="1:46" x14ac:dyDescent="0.2">
      <c r="A52" s="29">
        <v>2.9814999999999998E-2</v>
      </c>
      <c r="B52" s="62">
        <v>-662.7</v>
      </c>
      <c r="C52" s="63">
        <f>B52-B53</f>
        <v>-662.7</v>
      </c>
      <c r="D52" s="64">
        <v>330.9</v>
      </c>
      <c r="E52" s="64">
        <v>106.53</v>
      </c>
      <c r="F52" s="64">
        <v>-14.7</v>
      </c>
      <c r="G52" s="29">
        <f>10*A51*(A52*(E53-2*F53/A52^2+H53*A52+2*I53*A52^2+3*J53*A52^3)-G53)</f>
        <v>0</v>
      </c>
      <c r="H52" s="64">
        <v>0.75</v>
      </c>
      <c r="I52" s="64">
        <v>0</v>
      </c>
      <c r="J52" s="64">
        <v>0</v>
      </c>
      <c r="P52" s="2" t="s">
        <v>65</v>
      </c>
      <c r="Q52" s="34">
        <v>0</v>
      </c>
      <c r="R52" s="2">
        <v>20.417824282879305</v>
      </c>
      <c r="S52" s="2">
        <v>4.6545192134223345</v>
      </c>
      <c r="T52" s="2">
        <v>0</v>
      </c>
      <c r="U52" s="2">
        <v>9.6854892056046665E-2</v>
      </c>
      <c r="V52" s="2">
        <v>0</v>
      </c>
      <c r="W52" s="2">
        <v>0</v>
      </c>
      <c r="X52" s="2">
        <v>0</v>
      </c>
    </row>
    <row r="53" spans="1:46" ht="13.5" x14ac:dyDescent="0.25">
      <c r="A53" s="65" t="s">
        <v>33</v>
      </c>
      <c r="B53" s="62"/>
      <c r="C53" s="37">
        <f>C52/(10*A51)</f>
        <v>-7.9704131336821211</v>
      </c>
      <c r="D53" s="38">
        <f>D52/A51-E53*(1+LN(A52))+F53/A52^2-2*H53*A52-3*I53*A52^2-4*J53*A52^3</f>
        <v>70.971271986003501</v>
      </c>
      <c r="E53" s="37">
        <f>E52/A51</f>
        <v>12.812556377412953</v>
      </c>
      <c r="F53" s="38">
        <f>F52/2000/A51</f>
        <v>-8.8399783510734252E-4</v>
      </c>
      <c r="G53" s="38">
        <f>A52*(E53-2*F53/A52^2+H53*A52+2*I53*A52^2+3*J53*A52^3)+(C52-C52)/10/A51</f>
        <v>0.44170616023113685</v>
      </c>
      <c r="H53" s="38">
        <f>0.5*H52*10/A51</f>
        <v>0.45101930362619519</v>
      </c>
      <c r="I53" s="38">
        <f>I52*100/(6*A51)</f>
        <v>0</v>
      </c>
      <c r="J53" s="38">
        <f>J52*1000/(12*A51)</f>
        <v>0</v>
      </c>
      <c r="K53" s="66" t="s">
        <v>156</v>
      </c>
      <c r="Q53" s="34"/>
    </row>
    <row r="54" spans="1:46" x14ac:dyDescent="0.2">
      <c r="A54" s="41">
        <f>B54/10000</f>
        <v>0.2</v>
      </c>
      <c r="B54" s="67">
        <v>2000</v>
      </c>
      <c r="C54" s="68">
        <f>C52+G54</f>
        <v>-484.13065869241785</v>
      </c>
      <c r="D54" s="41">
        <f>A51*(D53+E53*(1+LN(A54))-F53/A54^2+2*H53*A54+3*I53*A54^2+4*J53*A54^3)</f>
        <v>526.85097011602147</v>
      </c>
      <c r="E54" s="82">
        <f>A51*(E53+2*F53/A54^2+2*H53*A54+6*I53*A54^2+12*J53*A54^3)</f>
        <v>107.66250000000001</v>
      </c>
      <c r="F54" s="46"/>
      <c r="G54" s="41">
        <f>10*A51*(A54*(E53-2*F53/A54^2+H53*A54+2*I53*A54^2+3*J53*A54^3)-G53)</f>
        <v>178.56934130758219</v>
      </c>
      <c r="H54" s="46"/>
      <c r="I54" s="46"/>
      <c r="J54" s="46"/>
      <c r="K54" s="46"/>
      <c r="P54" s="2" t="s">
        <v>66</v>
      </c>
      <c r="Q54" s="34">
        <v>0</v>
      </c>
      <c r="R54" s="2">
        <v>30.448012508268686</v>
      </c>
      <c r="S54" s="2">
        <v>2.7896085152444519</v>
      </c>
      <c r="T54" s="2">
        <v>-5.8295748391364481E-5</v>
      </c>
      <c r="U54" s="2">
        <v>9.9320464249203193E-3</v>
      </c>
      <c r="V54" s="2">
        <v>-3.3121654940164773</v>
      </c>
      <c r="W54" s="2">
        <v>5.5216789945276314</v>
      </c>
      <c r="X54" s="2">
        <v>7.2992964098863427</v>
      </c>
    </row>
    <row r="55" spans="1:46" ht="13.5" x14ac:dyDescent="0.25">
      <c r="P55" s="2" t="s">
        <v>67</v>
      </c>
      <c r="Q55" s="34">
        <v>0</v>
      </c>
      <c r="R55" s="2">
        <v>14.18197125503638</v>
      </c>
      <c r="S55" s="2">
        <v>-7.0026219255517468</v>
      </c>
      <c r="T55" s="35">
        <v>2.8337242167298094E-2</v>
      </c>
      <c r="U55" s="2">
        <v>-1.2169944073606349</v>
      </c>
      <c r="V55" s="2">
        <v>30.431655541523842</v>
      </c>
      <c r="W55" s="2">
        <v>-14.038486980576101</v>
      </c>
      <c r="X55" s="2">
        <v>2.9223645438691439</v>
      </c>
    </row>
    <row r="56" spans="1:46" ht="13.5" x14ac:dyDescent="0.25">
      <c r="A56" s="15">
        <v>8.3145000000000007</v>
      </c>
      <c r="B56" s="1" t="s">
        <v>146</v>
      </c>
      <c r="C56" s="24" t="s">
        <v>147</v>
      </c>
      <c r="D56" s="25" t="s">
        <v>32</v>
      </c>
      <c r="E56" s="25" t="s">
        <v>15</v>
      </c>
      <c r="F56" s="26" t="s">
        <v>16</v>
      </c>
      <c r="G56" s="5" t="s">
        <v>148</v>
      </c>
      <c r="H56" s="26" t="s">
        <v>17</v>
      </c>
      <c r="I56" s="26" t="s">
        <v>18</v>
      </c>
      <c r="J56" s="26" t="s">
        <v>19</v>
      </c>
      <c r="Q56" s="34"/>
      <c r="T56" s="35"/>
    </row>
    <row r="57" spans="1:46" ht="13.5" x14ac:dyDescent="0.25">
      <c r="A57" s="29">
        <v>2.9814999999999998E-2</v>
      </c>
      <c r="B57" s="62">
        <v>-662.7</v>
      </c>
      <c r="C57" s="63">
        <f>B57-B58</f>
        <v>-662.7</v>
      </c>
      <c r="D57" s="64">
        <v>330.9</v>
      </c>
      <c r="E57" s="64">
        <v>105.58620000000001</v>
      </c>
      <c r="F57" s="64">
        <v>-14.496270000000001</v>
      </c>
      <c r="G57" s="83">
        <f>10*A56*(A57*(E58-2*F58/A57^2+H58*A57+2*I58*A57^2+3*J58*A57^3)-G58)</f>
        <v>0</v>
      </c>
      <c r="H57" s="64">
        <v>2.1230829999999998</v>
      </c>
      <c r="I57" s="64">
        <v>-0.57350000000000001</v>
      </c>
      <c r="J57" s="64">
        <v>4.8800000000000003E-2</v>
      </c>
      <c r="Q57" s="34"/>
      <c r="T57" s="35"/>
    </row>
    <row r="58" spans="1:46" ht="13.5" x14ac:dyDescent="0.25">
      <c r="A58" s="65" t="s">
        <v>194</v>
      </c>
      <c r="B58" s="62"/>
      <c r="C58" s="37">
        <f>C57/(10*A56)</f>
        <v>-7.9704131336821211</v>
      </c>
      <c r="D58" s="38">
        <f>D57/A56-E58*(1+LN(A57))+F58/A57^2-2*H58*A57-3*I58*A57^2-4*J58*A57^3</f>
        <v>70.65360275576333</v>
      </c>
      <c r="E58" s="37">
        <f>E57/A56</f>
        <v>12.699043839076312</v>
      </c>
      <c r="F58" s="38">
        <f>F57/2000/A56</f>
        <v>-8.7174634674364059E-4</v>
      </c>
      <c r="G58" s="38">
        <f>A57*(E58-2*F58/A57^2+H58*A57+2*I58*A57^2+3*J58*A57^3)+(C57-C57)/10/A56</f>
        <v>0.43817417973698436</v>
      </c>
      <c r="H58" s="38">
        <f>0.5*H57*10/A56</f>
        <v>1.2767352216008176</v>
      </c>
      <c r="I58" s="38">
        <f>I57*100/(6*A56)</f>
        <v>-1.1495980916872131</v>
      </c>
      <c r="J58" s="38">
        <f>J57*1000/(12*A56)</f>
        <v>0.48910537815462951</v>
      </c>
      <c r="K58" s="66" t="s">
        <v>156</v>
      </c>
      <c r="Q58" s="34"/>
      <c r="T58" s="35"/>
    </row>
    <row r="59" spans="1:46" ht="13.5" x14ac:dyDescent="0.25">
      <c r="A59" s="41">
        <f>B59/10000</f>
        <v>0.2</v>
      </c>
      <c r="B59" s="67">
        <v>2000</v>
      </c>
      <c r="C59" s="68">
        <f>C57+G59</f>
        <v>-484.32274600756489</v>
      </c>
      <c r="D59" s="41">
        <f>A56*(D58+E58*(1+LN(A59))-F58/A59^2+2*H58*A59+3*I58*A59^2+4*J58*A59^3)</f>
        <v>526.51164951127816</v>
      </c>
      <c r="E59" s="41">
        <f>A56*(E58+2*F58/A59^2+2*H58*A59+6*I58*A59^2+12*J58*A59^3)</f>
        <v>107.56635925</v>
      </c>
      <c r="F59" s="46"/>
      <c r="G59" s="41">
        <f>10*A56*(A59*(E58-2*F58/A59^2+H58*A59+2*I58*A59^2+3*J58*A59^3)-G58)</f>
        <v>178.37725399243513</v>
      </c>
      <c r="H59" s="46"/>
      <c r="I59" s="46"/>
      <c r="J59" s="46"/>
      <c r="K59" s="46"/>
      <c r="Q59" s="34"/>
      <c r="T59" s="35"/>
    </row>
    <row r="60" spans="1:46" ht="13.5" x14ac:dyDescent="0.25">
      <c r="T60" s="35"/>
    </row>
    <row r="61" spans="1:46" ht="13.5" x14ac:dyDescent="0.25">
      <c r="A61" s="15">
        <v>8.3145000000000007</v>
      </c>
      <c r="B61" s="1" t="s">
        <v>146</v>
      </c>
      <c r="C61" s="24" t="s">
        <v>147</v>
      </c>
      <c r="D61" s="74" t="s">
        <v>3</v>
      </c>
      <c r="E61" s="25" t="s">
        <v>15</v>
      </c>
      <c r="F61" s="26" t="s">
        <v>16</v>
      </c>
      <c r="G61" s="5" t="s">
        <v>148</v>
      </c>
      <c r="H61" s="26" t="s">
        <v>17</v>
      </c>
      <c r="I61" s="26" t="s">
        <v>18</v>
      </c>
      <c r="J61" s="26" t="s">
        <v>19</v>
      </c>
      <c r="P61" s="2" t="s">
        <v>68</v>
      </c>
      <c r="Q61" s="2">
        <v>-0.58027542245474772</v>
      </c>
      <c r="R61" s="2">
        <v>39.415478982500453</v>
      </c>
      <c r="S61" s="2">
        <v>5.6957243370016233</v>
      </c>
      <c r="T61" s="35">
        <v>-2.326898791268266E-4</v>
      </c>
      <c r="U61" s="2">
        <v>5.2431294726080935E-2</v>
      </c>
      <c r="V61" s="2">
        <v>-5.7095435684647295</v>
      </c>
      <c r="W61" s="2">
        <v>7.3897408142401826</v>
      </c>
      <c r="X61" s="2">
        <v>-2.7057550063142699</v>
      </c>
    </row>
    <row r="62" spans="1:46" ht="13.5" x14ac:dyDescent="0.25">
      <c r="A62" s="29">
        <v>2.9814999999999998E-2</v>
      </c>
      <c r="B62" s="71">
        <v>0</v>
      </c>
      <c r="C62" s="63">
        <f>B62-B63</f>
        <v>0</v>
      </c>
      <c r="D62" s="19">
        <v>73.2</v>
      </c>
      <c r="E62" s="64">
        <v>28.38</v>
      </c>
      <c r="F62" s="64">
        <v>-2</v>
      </c>
      <c r="G62" s="29">
        <f>10*A61*(A62*(E63-2*F63/A62^2+H63*A62+2*I63*A62^2+3*J63*A62^3)-G63)</f>
        <v>0</v>
      </c>
      <c r="H62" s="64">
        <v>-1.99</v>
      </c>
      <c r="I62" s="64">
        <v>5.72</v>
      </c>
      <c r="J62" s="64">
        <v>0</v>
      </c>
      <c r="T62" s="35"/>
    </row>
    <row r="63" spans="1:46" ht="13.5" x14ac:dyDescent="0.25">
      <c r="A63" s="75" t="s">
        <v>20</v>
      </c>
      <c r="B63" s="71"/>
      <c r="C63" s="37">
        <f>C62/(10*A61)</f>
        <v>0</v>
      </c>
      <c r="D63" s="38">
        <f>D62/A61-E63*(1+LN(A62))+F63/A62^2-2*H63*A62-3*I63*A62^2-4*J63*A62^3</f>
        <v>17.286163408030774</v>
      </c>
      <c r="E63" s="37">
        <f>E62/A61</f>
        <v>3.4133140898430447</v>
      </c>
      <c r="F63" s="38">
        <f>F62/2000/A61</f>
        <v>-1.2027181430031872E-4</v>
      </c>
      <c r="G63" s="38">
        <f>A62*(E63-2*F63/A62^2+H63*A62+2*I63*A62^2+3*J63*A62^3)+(C62-C62)/10/A61</f>
        <v>0.10937981613429919</v>
      </c>
      <c r="H63" s="38">
        <f>0.5*H62*10/A61</f>
        <v>-1.1967045522881712</v>
      </c>
      <c r="I63" s="38">
        <f>I62*100/(6*A61)</f>
        <v>11.46591296329705</v>
      </c>
      <c r="J63" s="38">
        <f>J62*1000/(12*A61)</f>
        <v>0</v>
      </c>
      <c r="K63" s="66" t="s">
        <v>156</v>
      </c>
      <c r="P63" s="40" t="s">
        <v>69</v>
      </c>
      <c r="Q63" s="40">
        <v>-23.908833964760355</v>
      </c>
      <c r="R63" s="40">
        <v>54.417222923807799</v>
      </c>
      <c r="S63" s="40">
        <v>14.808839978351072</v>
      </c>
      <c r="T63" s="38">
        <v>-9.2181129352336276E-4</v>
      </c>
      <c r="U63" s="40">
        <v>0.26702267123699558</v>
      </c>
      <c r="V63" s="40">
        <v>5.2746406879547774</v>
      </c>
      <c r="W63" s="40">
        <v>0</v>
      </c>
      <c r="X63" s="40">
        <v>0</v>
      </c>
    </row>
    <row r="64" spans="1:46" x14ac:dyDescent="0.2">
      <c r="A64" s="41">
        <f>B64/10000</f>
        <v>0.17949999999999999</v>
      </c>
      <c r="B64" s="67">
        <v>1795</v>
      </c>
      <c r="C64" s="68">
        <f>C62+G64</f>
        <v>49.780494086993727</v>
      </c>
      <c r="D64" s="41">
        <f>A$25*(D63+E63*(1+LN(A64))-F63/A64^2+2*H63*A64+3*I63*A64^2+4*J63*A64^3)</f>
        <v>129.03486112196418</v>
      </c>
      <c r="E64" s="41">
        <f>A61*(E63+2*F63/A64^2+2*H63*A64+6*I63*A64^2+12*J63*A64^3)</f>
        <v>43.175860235201469</v>
      </c>
      <c r="F64" s="46"/>
      <c r="G64" s="41">
        <f>10*A61*(A64*(E63-2*F63/A64^2+H63*A64+2*I63*A64^2+3*J63*A64^3)-G63)</f>
        <v>49.780494086993727</v>
      </c>
      <c r="H64" s="46"/>
      <c r="I64" s="46"/>
      <c r="J64" s="46"/>
      <c r="K64" s="46"/>
      <c r="L64" s="46"/>
      <c r="M64" s="58"/>
      <c r="P64" s="40" t="s">
        <v>70</v>
      </c>
      <c r="Q64" s="40">
        <v>-23.908833964760355</v>
      </c>
      <c r="R64" s="40">
        <v>58.717421372301402</v>
      </c>
      <c r="S64" s="40">
        <v>19.243526369595283</v>
      </c>
      <c r="T64" s="40">
        <v>0</v>
      </c>
      <c r="U64" s="40">
        <v>1.0551807084009863</v>
      </c>
      <c r="V64" s="40">
        <v>0</v>
      </c>
      <c r="W64" s="40">
        <v>0</v>
      </c>
      <c r="X64" s="40">
        <v>0</v>
      </c>
    </row>
    <row r="65" spans="1:24" x14ac:dyDescent="0.2">
      <c r="A65" s="29">
        <f>B65/10000</f>
        <v>0.17949999999999999</v>
      </c>
      <c r="B65" s="76">
        <v>1795</v>
      </c>
      <c r="C65" s="69">
        <v>70.2</v>
      </c>
      <c r="D65" s="76">
        <f>D64+L65</f>
        <v>140.4106304328312</v>
      </c>
      <c r="E65" s="64">
        <v>38.700000000000003</v>
      </c>
      <c r="F65" s="64">
        <v>0</v>
      </c>
      <c r="G65" s="29">
        <f>10*A61*(E66*A65-2*F66/A65-G66+H66*A65^2+2*I66*A65^3+3*J66*A65^4)</f>
        <v>70.2</v>
      </c>
      <c r="H65" s="64">
        <v>0</v>
      </c>
      <c r="I65" s="64">
        <v>0</v>
      </c>
      <c r="J65" s="64">
        <v>0</v>
      </c>
      <c r="K65" s="71">
        <f>C65-C64</f>
        <v>20.419505913006276</v>
      </c>
      <c r="L65" s="71">
        <f>K65*1000/B65</f>
        <v>11.375769310867007</v>
      </c>
      <c r="M65" s="71"/>
      <c r="P65" s="40" t="s">
        <v>71</v>
      </c>
      <c r="Q65" s="40">
        <v>-23.908833964760355</v>
      </c>
      <c r="R65" s="40">
        <v>66.031872030789586</v>
      </c>
      <c r="S65" s="40">
        <v>24.05436286006374</v>
      </c>
      <c r="T65" s="40">
        <v>0</v>
      </c>
      <c r="U65" s="40">
        <v>0.78625293162547349</v>
      </c>
      <c r="V65" s="40">
        <v>0</v>
      </c>
      <c r="W65" s="40">
        <v>0</v>
      </c>
      <c r="X65" s="40">
        <v>0</v>
      </c>
    </row>
    <row r="66" spans="1:24" ht="13.5" x14ac:dyDescent="0.25">
      <c r="A66" s="77" t="s">
        <v>21</v>
      </c>
      <c r="B66" s="73"/>
      <c r="C66" s="37">
        <f>(C62)/(10*A61)</f>
        <v>0</v>
      </c>
      <c r="D66" s="38">
        <f>D65/A61-E66*(1+LN(A65))+F66/A65^2-2*H66*A65-3*I66*A65^2-4*J66*A65^3</f>
        <v>20.227431497097047</v>
      </c>
      <c r="E66" s="37">
        <f>E65/A61</f>
        <v>4.6545192134223345</v>
      </c>
      <c r="F66" s="38">
        <f>F65/2000/A61</f>
        <v>0</v>
      </c>
      <c r="G66" s="38">
        <f>A65*(E66-2*F66/A65^2+H66*A65+2*I66*A65^2+3*J66*A65^3)+(C62-C65)/10/A61</f>
        <v>-8.8219375789284626E-3</v>
      </c>
      <c r="H66" s="38">
        <f>0.5*H65*10/A61</f>
        <v>0</v>
      </c>
      <c r="I66" s="38">
        <f>I65*100/(6*A61)</f>
        <v>0</v>
      </c>
      <c r="J66" s="38">
        <f>J65*1000/(12*A61)</f>
        <v>0</v>
      </c>
    </row>
    <row r="67" spans="1:24" x14ac:dyDescent="0.2">
      <c r="A67" s="29">
        <f>B67/10000</f>
        <v>0.23</v>
      </c>
      <c r="B67" s="8">
        <v>2300</v>
      </c>
      <c r="C67" s="2">
        <f>C62+G67</f>
        <v>89.743500000000012</v>
      </c>
      <c r="D67" s="76">
        <f>A61*(D66+E66*(1+LN(A67))-F66/A67^2+2*H66*A67+3*I66*A67^2+4*J66*A67^3)</f>
        <v>150.00451914133237</v>
      </c>
      <c r="E67" s="8">
        <f>A$25*(E66+2*F66/A67^2+2*H66*A67+6*I66*A67^2+12*J66*A67^3)</f>
        <v>38.700000000000003</v>
      </c>
      <c r="G67" s="29">
        <f>10*A61*(E66*A67-2*F66/A67-G66+H66*A67^2+2*I66*A67^3+3*J66*A67^4)</f>
        <v>89.743500000000012</v>
      </c>
      <c r="P67" s="2" t="s">
        <v>72</v>
      </c>
      <c r="Q67" s="2">
        <v>0</v>
      </c>
      <c r="R67" s="2">
        <v>17.588069036021405</v>
      </c>
      <c r="S67" s="2">
        <v>3.4284803656263154</v>
      </c>
      <c r="T67" s="2">
        <v>0</v>
      </c>
      <c r="U67" s="2">
        <v>1.0173792771663959E-2</v>
      </c>
      <c r="V67" s="2">
        <v>4.1529857477900052</v>
      </c>
      <c r="W67" s="2">
        <v>20.807023873955139</v>
      </c>
      <c r="X67" s="2">
        <v>0</v>
      </c>
    </row>
    <row r="68" spans="1:24" x14ac:dyDescent="0.2">
      <c r="P68" s="2" t="s">
        <v>113</v>
      </c>
      <c r="Q68" s="2">
        <v>0</v>
      </c>
      <c r="R68" s="2">
        <v>15.787239160502736</v>
      </c>
      <c r="S68" s="2">
        <v>2.8906380419748632</v>
      </c>
      <c r="T68" s="2">
        <v>0</v>
      </c>
      <c r="U68" s="2">
        <v>1.1401767995670214E-3</v>
      </c>
      <c r="V68" s="2">
        <v>4.454507186240904</v>
      </c>
      <c r="W68" s="2">
        <v>0</v>
      </c>
      <c r="X68" s="2">
        <v>0</v>
      </c>
    </row>
    <row r="69" spans="1:24" ht="13.5" x14ac:dyDescent="0.25">
      <c r="A69" s="15">
        <v>8.3145000000000007</v>
      </c>
      <c r="B69" s="1" t="s">
        <v>146</v>
      </c>
      <c r="C69" s="24" t="s">
        <v>147</v>
      </c>
      <c r="D69" s="74" t="s">
        <v>3</v>
      </c>
      <c r="E69" s="25" t="s">
        <v>15</v>
      </c>
      <c r="F69" s="26" t="s">
        <v>16</v>
      </c>
      <c r="G69" s="5" t="s">
        <v>148</v>
      </c>
      <c r="H69" s="26" t="s">
        <v>17</v>
      </c>
      <c r="I69" s="26" t="s">
        <v>18</v>
      </c>
      <c r="J69" s="26" t="s">
        <v>19</v>
      </c>
      <c r="P69" s="2" t="s">
        <v>114</v>
      </c>
      <c r="Q69" s="2">
        <v>0</v>
      </c>
      <c r="R69" s="2">
        <v>19.991701244813278</v>
      </c>
      <c r="S69" s="2">
        <v>4.9792531120331942</v>
      </c>
      <c r="T69" s="2">
        <v>0</v>
      </c>
      <c r="U69" s="2">
        <v>3.1342834806663056E-2</v>
      </c>
      <c r="V69" s="2">
        <v>0</v>
      </c>
      <c r="W69" s="2">
        <v>0</v>
      </c>
      <c r="X69" s="2">
        <v>0</v>
      </c>
    </row>
    <row r="70" spans="1:24" x14ac:dyDescent="0.2">
      <c r="A70" s="29">
        <v>2.9814999999999998E-2</v>
      </c>
      <c r="B70" s="71">
        <v>-1510.4</v>
      </c>
      <c r="C70" s="63">
        <f>B70-B71</f>
        <v>-1510.4</v>
      </c>
      <c r="D70" s="19">
        <v>66.5</v>
      </c>
      <c r="E70" s="64">
        <v>70.58</v>
      </c>
      <c r="F70" s="64">
        <v>-9.1999999999999993</v>
      </c>
      <c r="G70" s="29">
        <f>10*A69*(A70*(E71-2*F71/A70^2+H71*A70+2*I71*A70^2+3*J71*A70^3)-G71)</f>
        <v>0</v>
      </c>
      <c r="H70" s="64">
        <v>51.09</v>
      </c>
      <c r="I70" s="64">
        <v>0</v>
      </c>
      <c r="J70" s="64">
        <v>0</v>
      </c>
    </row>
    <row r="71" spans="1:24" ht="13.5" x14ac:dyDescent="0.25">
      <c r="A71" s="75" t="s">
        <v>29</v>
      </c>
      <c r="B71" s="71"/>
      <c r="C71" s="37">
        <f>C70/(10*A69)</f>
        <v>-18.165854831920139</v>
      </c>
      <c r="D71" s="38">
        <f>D70/A69-E71*(1+LN(A70))+F71/A70^2-2*H71*A70-3*I71*A70^2-4*J71*A70^3</f>
        <v>26.873802116413682</v>
      </c>
      <c r="E71" s="37">
        <f>E70/A69</f>
        <v>8.488784653316495</v>
      </c>
      <c r="F71" s="38">
        <f>F70/2000/A69</f>
        <v>-5.532503457814661E-4</v>
      </c>
      <c r="G71" s="38">
        <f>A70*(E71-2*F71/A70^2+H71*A70+2*I71*A70^2+3*J71*A70^3)+(C70-C70)/10/A69</f>
        <v>0.31751644233169263</v>
      </c>
      <c r="H71" s="38">
        <f>0.5*H70*10/A69</f>
        <v>30.723434963016416</v>
      </c>
      <c r="I71" s="38">
        <f>I70*100/(6*A69)</f>
        <v>0</v>
      </c>
      <c r="J71" s="38">
        <f>J70*1000/(12*A69)</f>
        <v>0</v>
      </c>
      <c r="K71" s="66" t="s">
        <v>156</v>
      </c>
      <c r="P71" s="2" t="s">
        <v>115</v>
      </c>
      <c r="Q71" s="2">
        <v>2.7994467496542184</v>
      </c>
      <c r="R71" s="2">
        <v>28.226471826327497</v>
      </c>
      <c r="S71" s="2">
        <v>2.2055084490949546</v>
      </c>
      <c r="T71" s="2">
        <v>4.8782247880209267E-5</v>
      </c>
      <c r="U71" s="2">
        <v>-8.9013169763665894E-3</v>
      </c>
      <c r="V71" s="2">
        <v>4.3480666305851221</v>
      </c>
      <c r="W71" s="2">
        <v>-14.473510132900355</v>
      </c>
      <c r="X71" s="2">
        <v>23.645438691442656</v>
      </c>
    </row>
    <row r="72" spans="1:24" x14ac:dyDescent="0.2">
      <c r="A72" s="41">
        <f>B72/10000</f>
        <v>7.2800000000000004E-2</v>
      </c>
      <c r="B72" s="67">
        <v>728</v>
      </c>
      <c r="C72" s="68">
        <f>C70+G72</f>
        <v>-1470.6154870539324</v>
      </c>
      <c r="D72" s="41">
        <f>A$25*(D71+E71*(1+LN(A72))-F71/A72^2+2*H71*A72+3*I71*A72^2+4*J71*A72^3)</f>
        <v>147.1613229551528</v>
      </c>
      <c r="E72" s="41">
        <f>A69*(E71+2*F71/A72^2+2*H71*A72+6*I71*A72^2+12*J71*A72^3)</f>
        <v>106.03761853882384</v>
      </c>
      <c r="F72" s="46"/>
      <c r="G72" s="41">
        <f>10*A69*(A72*(E71-2*F71/A72^2+H71*A72+2*I71*A72^2+3*J71*A72^3)-G71)</f>
        <v>39.784512946067679</v>
      </c>
      <c r="H72" s="46"/>
      <c r="I72" s="46"/>
      <c r="J72" s="46"/>
      <c r="K72" s="46"/>
      <c r="P72" s="2" t="s">
        <v>116</v>
      </c>
      <c r="Q72" s="2">
        <v>2.7994467496542184</v>
      </c>
      <c r="R72" s="2">
        <v>61.297492332671837</v>
      </c>
      <c r="S72" s="2">
        <v>21.280475073666484</v>
      </c>
      <c r="T72" s="2">
        <v>-5.3868542906969748E-2</v>
      </c>
      <c r="U72" s="2">
        <v>2.3023633411510009</v>
      </c>
      <c r="V72" s="2">
        <v>-72.255697877202465</v>
      </c>
      <c r="W72" s="2">
        <v>63.604666546394846</v>
      </c>
      <c r="X72" s="2">
        <v>-24.271814300318717</v>
      </c>
    </row>
    <row r="74" spans="1:24" ht="13.5" x14ac:dyDescent="0.25">
      <c r="A74" s="15">
        <v>8.3145000000000007</v>
      </c>
      <c r="B74" s="1" t="s">
        <v>146</v>
      </c>
      <c r="C74" s="24" t="s">
        <v>147</v>
      </c>
      <c r="D74" s="74" t="s">
        <v>3</v>
      </c>
      <c r="E74" s="25" t="s">
        <v>15</v>
      </c>
      <c r="F74" s="26" t="s">
        <v>16</v>
      </c>
      <c r="G74" s="5" t="s">
        <v>148</v>
      </c>
      <c r="H74" s="26" t="s">
        <v>17</v>
      </c>
      <c r="I74" s="26" t="s">
        <v>18</v>
      </c>
      <c r="J74" s="26" t="s">
        <v>19</v>
      </c>
      <c r="P74" s="2" t="s">
        <v>117</v>
      </c>
      <c r="Q74" s="2">
        <v>-0.2270611582175717</v>
      </c>
      <c r="R74" s="2">
        <v>43.095916771904506</v>
      </c>
      <c r="S74" s="2">
        <v>5.1975236033435559</v>
      </c>
      <c r="T74" s="2">
        <v>-2.4428408202537737E-4</v>
      </c>
      <c r="U74" s="2">
        <v>4.8647543448192915E-2</v>
      </c>
      <c r="V74" s="2">
        <v>-1.5002706115821756</v>
      </c>
      <c r="W74" s="2">
        <v>3.088099103974983</v>
      </c>
      <c r="X74" s="2">
        <v>1.0935113356184978</v>
      </c>
    </row>
    <row r="75" spans="1:24" x14ac:dyDescent="0.2">
      <c r="A75" s="29">
        <v>2.9814999999999998E-2</v>
      </c>
      <c r="B75" s="71">
        <v>-910.9</v>
      </c>
      <c r="C75" s="63">
        <f>B75-B76</f>
        <v>-910.9</v>
      </c>
      <c r="D75" s="19">
        <v>41.5</v>
      </c>
      <c r="E75" s="64">
        <v>40.5</v>
      </c>
      <c r="F75" s="64">
        <v>-8.3000000000000007</v>
      </c>
      <c r="G75" s="29">
        <f>10*A74*(A75*(E76-2*F76/A75^2+H76*A75+2*I76*A75^2+3*J76*A75^3)-G76)</f>
        <v>0</v>
      </c>
      <c r="H75" s="64">
        <v>44.6</v>
      </c>
      <c r="I75" s="64">
        <v>0</v>
      </c>
      <c r="J75" s="64">
        <v>0</v>
      </c>
    </row>
    <row r="76" spans="1:24" ht="13.5" x14ac:dyDescent="0.25">
      <c r="A76" s="65" t="s">
        <v>157</v>
      </c>
      <c r="B76" s="71"/>
      <c r="C76" s="37">
        <f>C75/(10*A74)</f>
        <v>-10.955559564616031</v>
      </c>
      <c r="D76" s="38">
        <f>D75/A74-E76*(1+LN(A75))+F76/A75^2-2*H76*A75-3*I76*A75^2-4*J76*A75^3</f>
        <v>15.070072306594717</v>
      </c>
      <c r="E76" s="37">
        <f>E75/A74</f>
        <v>4.8710084791629074</v>
      </c>
      <c r="F76" s="38">
        <f>F75/2000/A74</f>
        <v>-4.9912802934632262E-4</v>
      </c>
      <c r="G76" s="38">
        <f>A75*(E76-2*F76/A75^2+H76*A75+2*I76*A75^2+3*J76*A75^3)+(C75-C75)/10/A74</f>
        <v>0.20255255231865818</v>
      </c>
      <c r="H76" s="38">
        <f>0.5*H75*10/A74</f>
        <v>26.820614588971072</v>
      </c>
      <c r="I76" s="38">
        <f>I75*100/(6*A74)</f>
        <v>0</v>
      </c>
      <c r="J76" s="38">
        <f>J75*1000/(12*A74)</f>
        <v>0</v>
      </c>
      <c r="K76" s="66" t="s">
        <v>156</v>
      </c>
      <c r="P76" s="2" t="s">
        <v>118</v>
      </c>
      <c r="Q76" s="2">
        <v>-22.715737566901197</v>
      </c>
      <c r="R76" s="2">
        <v>53.674905285946231</v>
      </c>
      <c r="S76" s="2">
        <v>15.056227073185399</v>
      </c>
      <c r="T76" s="2">
        <v>-5.8673401888267472E-4</v>
      </c>
      <c r="U76" s="2">
        <v>0.2414745324433219</v>
      </c>
      <c r="V76" s="2">
        <v>5.0220698779241078</v>
      </c>
      <c r="W76" s="2">
        <v>0</v>
      </c>
      <c r="X76" s="2">
        <v>0</v>
      </c>
    </row>
    <row r="77" spans="1:24" x14ac:dyDescent="0.2">
      <c r="A77" s="41">
        <f>B77/10000</f>
        <v>8.4699999999999998E-2</v>
      </c>
      <c r="B77" s="67">
        <v>847</v>
      </c>
      <c r="C77" s="68">
        <f>C75+G77</f>
        <v>-876.45958210078743</v>
      </c>
      <c r="D77" s="41">
        <f>A$25*(D76+E76*(1+LN(A77))-F76/A77^2+2*H76*A77+3*I76*A77^2+4*J76*A77^3)</f>
        <v>104.17487984109847</v>
      </c>
      <c r="E77" s="41">
        <f>A74*(E76+2*F76/A77^2+2*H76*A77+6*I76*A77^2+12*J76*A77^3)</f>
        <v>77.119258840912224</v>
      </c>
      <c r="F77" s="46"/>
      <c r="G77" s="41">
        <f>10*A74*(A77*(E76-2*F76/A77^2+H76*A77+2*I76*A77^2+3*J76*A77^3)-G76)</f>
        <v>34.440417899212498</v>
      </c>
      <c r="H77" s="46"/>
      <c r="I77" s="46"/>
      <c r="J77" s="46"/>
      <c r="K77" s="46"/>
      <c r="L77" s="46"/>
      <c r="M77" s="58"/>
      <c r="P77" s="2" t="s">
        <v>119</v>
      </c>
      <c r="Q77" s="2">
        <v>-22.715737566901197</v>
      </c>
      <c r="R77" s="2">
        <v>57.73443983402489</v>
      </c>
      <c r="S77" s="2">
        <v>19.243526369595283</v>
      </c>
      <c r="T77" s="2">
        <v>0</v>
      </c>
      <c r="U77" s="2">
        <v>0.98981297732876283</v>
      </c>
      <c r="V77" s="2">
        <v>0</v>
      </c>
      <c r="W77" s="2">
        <v>0</v>
      </c>
      <c r="X77" s="2">
        <v>0</v>
      </c>
    </row>
    <row r="78" spans="1:24" x14ac:dyDescent="0.2">
      <c r="A78" s="29">
        <f>B78/10000</f>
        <v>8.4699999999999998E-2</v>
      </c>
      <c r="B78" s="67">
        <v>847</v>
      </c>
      <c r="C78" s="69">
        <v>-875.7</v>
      </c>
      <c r="D78" s="76">
        <f>D77+L78</f>
        <v>105.07167098724651</v>
      </c>
      <c r="E78" s="64">
        <v>67.59</v>
      </c>
      <c r="F78" s="64">
        <v>-1.4</v>
      </c>
      <c r="G78" s="29">
        <f>10*A74*(E79*A78-2*F79/A78-G79+H79*A78^2+2*I79*A78^3+3*J79*A78^4)</f>
        <v>35.199999999999932</v>
      </c>
      <c r="H78" s="64">
        <v>2.58</v>
      </c>
      <c r="I78" s="64">
        <v>0</v>
      </c>
      <c r="J78" s="64">
        <v>0</v>
      </c>
      <c r="K78" s="71">
        <f>C78-C77</f>
        <v>0.75958210078738375</v>
      </c>
      <c r="L78" s="71">
        <f>K78*1000/B78</f>
        <v>0.89679114614803279</v>
      </c>
      <c r="M78" s="71"/>
      <c r="P78" s="2" t="s">
        <v>120</v>
      </c>
      <c r="Q78" s="2">
        <v>-22.715737566901197</v>
      </c>
      <c r="R78" s="2">
        <v>65.08052197967406</v>
      </c>
      <c r="S78" s="2">
        <v>24.054398941608035</v>
      </c>
      <c r="T78" s="2">
        <v>0</v>
      </c>
      <c r="U78" s="2">
        <v>0.7170365024956401</v>
      </c>
      <c r="V78" s="2">
        <v>0</v>
      </c>
      <c r="W78" s="2">
        <v>0</v>
      </c>
      <c r="X78" s="2">
        <v>0</v>
      </c>
    </row>
    <row r="79" spans="1:24" ht="13.5" x14ac:dyDescent="0.25">
      <c r="A79" s="72" t="s">
        <v>158</v>
      </c>
      <c r="B79" s="73"/>
      <c r="C79" s="37">
        <f>(C75)/(10*A74)</f>
        <v>-10.955559564616031</v>
      </c>
      <c r="D79" s="38">
        <f>D78/A74-E79*(1+LN(A78))+F79/A78^2-2*H79*A78-3*I79*A78^2-4*J79*A78^3</f>
        <v>24.301424430430924</v>
      </c>
      <c r="E79" s="37">
        <f>E78/A74</f>
        <v>8.1291719285585415</v>
      </c>
      <c r="F79" s="38">
        <f>F78/2000/A74</f>
        <v>-8.4190270010223102E-5</v>
      </c>
      <c r="G79" s="37">
        <f>A78*(E79-2*F79/A78^2+H79*A78+2*I79*A78^2+3*J79*A78^3)+(C75-C78)/10/A74</f>
        <v>0.2783026864657937</v>
      </c>
      <c r="H79" s="38">
        <f>0.5*H78*10/A74</f>
        <v>1.5515064044741114</v>
      </c>
      <c r="I79" s="38">
        <f>I78*100/(6*A74)</f>
        <v>0</v>
      </c>
      <c r="J79" s="38">
        <f>J78*1000/(12*A74)</f>
        <v>0</v>
      </c>
    </row>
    <row r="80" spans="1:24" x14ac:dyDescent="0.2">
      <c r="A80" s="29">
        <f>B80/10000</f>
        <v>0.18229999999999999</v>
      </c>
      <c r="B80" s="8">
        <v>1823</v>
      </c>
      <c r="C80" s="2">
        <f>C75+G80</f>
        <v>-806.45901596689509</v>
      </c>
      <c r="D80" s="76">
        <f>A74*(D79+E79*(1+LN(A80))-F79/A80^2+2*H79*A80+3*I79*A80^2+4*J79*A80^3)</f>
        <v>159.32354968251184</v>
      </c>
      <c r="E80" s="8">
        <f>A$25*(E79+2*F79/A80^2+2*H79*A80+6*I79*A80^2+12*J79*A80^3)</f>
        <v>72.25121356593344</v>
      </c>
      <c r="G80" s="29">
        <f>10*A74*(E79*A80-2*F79/A80-G79+H79*A80^2+2*I79*A80^3+3*J79*A80^4)</f>
        <v>104.44098403310493</v>
      </c>
      <c r="P80" s="2" t="s">
        <v>121</v>
      </c>
      <c r="Q80" s="2">
        <v>0</v>
      </c>
      <c r="R80" s="2">
        <v>20.857538035961269</v>
      </c>
      <c r="S80" s="2">
        <v>4.4645017740092605</v>
      </c>
      <c r="T80" s="2">
        <v>-2.2784292501052376E-4</v>
      </c>
      <c r="U80" s="2">
        <v>4.0791388538096093E-2</v>
      </c>
      <c r="V80" s="2">
        <v>-15.139455168681218</v>
      </c>
      <c r="W80" s="2">
        <v>40.532804137350411</v>
      </c>
      <c r="X80" s="2">
        <v>0</v>
      </c>
    </row>
    <row r="81" spans="1:24" x14ac:dyDescent="0.2">
      <c r="P81" s="2" t="s">
        <v>122</v>
      </c>
      <c r="Q81" s="2">
        <v>0</v>
      </c>
      <c r="R81" s="2">
        <v>20.296590294064583</v>
      </c>
      <c r="S81" s="2">
        <v>5.4122556978772023</v>
      </c>
      <c r="T81" s="2">
        <v>0</v>
      </c>
      <c r="U81" s="2">
        <v>0.18186301040351191</v>
      </c>
      <c r="V81" s="2">
        <v>0</v>
      </c>
      <c r="W81" s="2">
        <v>0</v>
      </c>
      <c r="X81" s="2">
        <v>0</v>
      </c>
    </row>
    <row r="82" spans="1:24" x14ac:dyDescent="0.2">
      <c r="P82" s="2" t="s">
        <v>123</v>
      </c>
      <c r="Q82" s="2">
        <v>0</v>
      </c>
      <c r="R82" s="2">
        <v>20.998737145949843</v>
      </c>
      <c r="S82" s="2">
        <v>5.2919838835768829</v>
      </c>
      <c r="T82" s="2">
        <v>0</v>
      </c>
      <c r="U82" s="2">
        <v>2.2538937999879726E-2</v>
      </c>
      <c r="V82" s="2">
        <v>0</v>
      </c>
      <c r="W82" s="2">
        <v>0</v>
      </c>
      <c r="X82" s="2">
        <v>0</v>
      </c>
    </row>
    <row r="83" spans="1:24" ht="13.5" x14ac:dyDescent="0.25">
      <c r="A83" s="15">
        <v>8.3145000000000007</v>
      </c>
      <c r="B83" s="1" t="s">
        <v>146</v>
      </c>
      <c r="C83" s="24" t="s">
        <v>147</v>
      </c>
      <c r="D83" s="74" t="s">
        <v>32</v>
      </c>
      <c r="E83" s="25" t="s">
        <v>15</v>
      </c>
      <c r="F83" s="26" t="s">
        <v>16</v>
      </c>
      <c r="G83" s="5" t="s">
        <v>148</v>
      </c>
      <c r="H83" s="26" t="s">
        <v>17</v>
      </c>
      <c r="I83" s="26" t="s">
        <v>18</v>
      </c>
      <c r="J83" s="26" t="s">
        <v>19</v>
      </c>
    </row>
    <row r="84" spans="1:24" x14ac:dyDescent="0.2">
      <c r="A84" s="29">
        <v>2.9814999999999998E-2</v>
      </c>
      <c r="B84" s="62">
        <v>-1018.8</v>
      </c>
      <c r="C84" s="63">
        <f>B84-B85</f>
        <v>-1018.8</v>
      </c>
      <c r="D84" s="15">
        <v>82.8</v>
      </c>
      <c r="E84" s="64">
        <v>70.5</v>
      </c>
      <c r="F84" s="64">
        <v>-4.5999999999999996</v>
      </c>
      <c r="G84" s="29">
        <f>10*A83*(A84*(E85-2*F85/A84^2+H85*A84+2*I85*A84^2+3*J85*A84^3)-G85)</f>
        <v>0</v>
      </c>
      <c r="H84" s="64">
        <v>12.26</v>
      </c>
      <c r="I84" s="64">
        <v>0</v>
      </c>
      <c r="J84" s="64">
        <v>0</v>
      </c>
      <c r="P84" s="2" t="s">
        <v>124</v>
      </c>
      <c r="Q84" s="2">
        <v>3.6104395934812672</v>
      </c>
      <c r="R84" s="2">
        <v>30.372722352516686</v>
      </c>
      <c r="S84" s="2">
        <v>2.6945817547657702</v>
      </c>
      <c r="T84" s="2">
        <v>-3.5672620121474529E-5</v>
      </c>
      <c r="U84" s="2">
        <v>6.3046485056227073E-3</v>
      </c>
      <c r="V84" s="2">
        <v>-2.4813278008298751</v>
      </c>
      <c r="W84" s="2">
        <v>5.5854230561068006</v>
      </c>
      <c r="X84" s="2">
        <v>0</v>
      </c>
    </row>
    <row r="85" spans="1:24" ht="13.5" x14ac:dyDescent="0.25">
      <c r="A85" s="65" t="s">
        <v>35</v>
      </c>
      <c r="B85" s="62"/>
      <c r="C85" s="37">
        <f>C84/(10*A83)</f>
        <v>-12.25329244091647</v>
      </c>
      <c r="D85" s="38">
        <f>D84/A83-E85*(1+LN(A84))+F85/A84^2-2*H85*A84-3*I85*A84^2-4*J85*A84^3</f>
        <v>30.513649737272672</v>
      </c>
      <c r="E85" s="37">
        <f>E84/A83</f>
        <v>8.4791629081724693</v>
      </c>
      <c r="F85" s="38">
        <f>F84/2000/A83</f>
        <v>-2.7662517289073305E-4</v>
      </c>
      <c r="G85" s="38">
        <f>A84*(E85-2*F85/A84^2+H85*A84+2*I85*A84^2+3*J85*A84^3)+(C84-C84)/10/A83</f>
        <v>0.27791616140330794</v>
      </c>
      <c r="H85" s="38">
        <f>0.5*H84*10/A83</f>
        <v>7.3726622166095366</v>
      </c>
      <c r="I85" s="38">
        <f>I84*100/(6*A83)</f>
        <v>0</v>
      </c>
      <c r="J85" s="38">
        <f>J84*1000/(12*A83)</f>
        <v>0</v>
      </c>
      <c r="K85" s="66" t="s">
        <v>156</v>
      </c>
      <c r="P85" s="2" t="s">
        <v>125</v>
      </c>
      <c r="Q85" s="2">
        <v>3.6104395934812672</v>
      </c>
      <c r="R85" s="2">
        <v>292.06073726622162</v>
      </c>
      <c r="S85" s="2">
        <v>132.31655541523841</v>
      </c>
      <c r="T85" s="2">
        <v>-0.21490167779180946</v>
      </c>
      <c r="U85" s="2">
        <v>11.909074508388958</v>
      </c>
      <c r="V85" s="2">
        <v>-695.09290997654693</v>
      </c>
      <c r="W85" s="2">
        <v>912.20157556076731</v>
      </c>
      <c r="X85" s="2">
        <v>-618.67821276083941</v>
      </c>
    </row>
    <row r="86" spans="1:24" x14ac:dyDescent="0.2">
      <c r="A86" s="41">
        <f>B86/10000</f>
        <v>0.12</v>
      </c>
      <c r="B86" s="67">
        <v>1200</v>
      </c>
      <c r="C86" s="68">
        <f>C84+G86</f>
        <v>-948.09680590654466</v>
      </c>
      <c r="D86" s="41">
        <f>A83*(D85+E85*(1+LN(A86))-F85/A86^2+2*H85*A86+3*I85*A86^2+4*J85*A86^3)</f>
        <v>189.59888366066946</v>
      </c>
      <c r="E86" s="41">
        <f>A83*(E85+2*F85/A86^2+2*H85*A86+6*I85*A86^2+12*J85*A86^3)</f>
        <v>84.89255555555556</v>
      </c>
      <c r="F86" s="46"/>
      <c r="G86" s="41">
        <f>10*A83*(A86*(E85-2*F85/A86^2+H85*A86+2*I85*A86^2+3*J85*A86^3)-G85)</f>
        <v>70.703194093455295</v>
      </c>
      <c r="H86" s="46"/>
      <c r="I86" s="46"/>
      <c r="J86" s="46"/>
      <c r="K86" s="46"/>
      <c r="P86" s="2" t="s">
        <v>126</v>
      </c>
      <c r="Q86" s="2">
        <v>3.6104395934812672</v>
      </c>
      <c r="R86" s="2">
        <v>4.5217391304347823</v>
      </c>
      <c r="S86" s="2">
        <v>-14.394214925732154</v>
      </c>
      <c r="T86" s="2">
        <v>6.4713452402429483E-2</v>
      </c>
      <c r="U86" s="2">
        <v>-2.4627458055204761</v>
      </c>
      <c r="V86" s="2">
        <v>48.558422033796376</v>
      </c>
      <c r="W86" s="2">
        <v>-23.704973239521316</v>
      </c>
      <c r="X86" s="2">
        <v>5.3043478260869561</v>
      </c>
    </row>
    <row r="88" spans="1:24" ht="13.5" x14ac:dyDescent="0.25">
      <c r="A88" s="15">
        <v>8.3145000000000007</v>
      </c>
      <c r="B88" s="1" t="s">
        <v>146</v>
      </c>
      <c r="C88" s="24" t="s">
        <v>147</v>
      </c>
      <c r="D88" s="74" t="s">
        <v>32</v>
      </c>
      <c r="E88" s="25" t="s">
        <v>15</v>
      </c>
      <c r="F88" s="26" t="s">
        <v>16</v>
      </c>
      <c r="G88" s="5" t="s">
        <v>148</v>
      </c>
      <c r="H88" s="26" t="s">
        <v>17</v>
      </c>
      <c r="I88" s="26" t="s">
        <v>18</v>
      </c>
      <c r="J88" s="26" t="s">
        <v>19</v>
      </c>
      <c r="P88" s="2" t="s">
        <v>127</v>
      </c>
      <c r="Q88" s="2">
        <v>-0.72997774971435436</v>
      </c>
      <c r="R88" s="2">
        <v>62.972397618618068</v>
      </c>
      <c r="S88" s="2">
        <v>12.395646160322327</v>
      </c>
      <c r="T88" s="2">
        <v>-1.5346924048349267E-3</v>
      </c>
      <c r="U88" s="2">
        <v>0.29626676288411807</v>
      </c>
      <c r="V88" s="2">
        <v>-74.957002826387637</v>
      </c>
      <c r="W88" s="2">
        <v>178.16946298634915</v>
      </c>
      <c r="X88" s="2">
        <v>-216.85008118347463</v>
      </c>
    </row>
    <row r="89" spans="1:24" x14ac:dyDescent="0.2">
      <c r="A89" s="29">
        <v>2.9814999999999998E-2</v>
      </c>
      <c r="B89" s="62">
        <v>-1005.8</v>
      </c>
      <c r="C89" s="63">
        <f>B89-B90</f>
        <v>-1005.8</v>
      </c>
      <c r="D89" s="15">
        <v>79.900000000000006</v>
      </c>
      <c r="E89" s="64">
        <v>68.62</v>
      </c>
      <c r="F89" s="64">
        <v>-4</v>
      </c>
      <c r="G89" s="29">
        <f>10*A88*(A89*(E90-2*F90/A89^2+H90*A89+2*I90*A89^2+3*J90*A89^3)-G90)</f>
        <v>0</v>
      </c>
      <c r="H89" s="64">
        <v>19.12</v>
      </c>
      <c r="I89" s="64">
        <v>0</v>
      </c>
      <c r="J89" s="64">
        <v>0</v>
      </c>
      <c r="P89" s="2" t="s">
        <v>128</v>
      </c>
      <c r="Q89" s="2">
        <v>-0.72997774971435436</v>
      </c>
      <c r="R89" s="2">
        <v>43.969932046424923</v>
      </c>
      <c r="S89" s="2">
        <v>5.4448253051897284</v>
      </c>
      <c r="T89" s="2">
        <v>-5.5204762763846297E-4</v>
      </c>
      <c r="U89" s="2">
        <v>1.6994407360635035E-2</v>
      </c>
      <c r="V89" s="2">
        <v>-2.824463287028685</v>
      </c>
      <c r="W89" s="2">
        <v>4.248842383787359</v>
      </c>
      <c r="X89" s="2">
        <v>-1.4042937037705212</v>
      </c>
    </row>
    <row r="90" spans="1:24" ht="13.5" x14ac:dyDescent="0.25">
      <c r="A90" s="65" t="s">
        <v>36</v>
      </c>
      <c r="B90" s="62"/>
      <c r="C90" s="37">
        <f>C89/(10*A88)</f>
        <v>-12.096939082326054</v>
      </c>
      <c r="D90" s="38">
        <f>D89/A88-E90*(1+LN(A89))+F90/A89^2-2*H90*A89-3*I90*A89^2-4*J90*A89^3</f>
        <v>29.391299110449406</v>
      </c>
      <c r="E90" s="37">
        <f>E89/A88</f>
        <v>8.2530518972878699</v>
      </c>
      <c r="F90" s="38">
        <f>F89/2000/A88</f>
        <v>-2.4054362860063743E-4</v>
      </c>
      <c r="G90" s="38">
        <f>A89*(E90-2*F90/A89^2+H90*A89+2*I90*A89^2+3*J90*A89^3)+(C89-C89)/10/A88</f>
        <v>0.27242144077181074</v>
      </c>
      <c r="H90" s="38">
        <f>0.5*H89*10/A88</f>
        <v>11.497985447110469</v>
      </c>
      <c r="I90" s="38">
        <f>I89*100/(6*A88)</f>
        <v>0</v>
      </c>
      <c r="J90" s="38">
        <f>J89*1000/(12*A88)</f>
        <v>0</v>
      </c>
      <c r="K90" s="66" t="s">
        <v>156</v>
      </c>
    </row>
    <row r="91" spans="1:24" x14ac:dyDescent="0.2">
      <c r="A91" s="41">
        <f>B91/10000</f>
        <v>0.1</v>
      </c>
      <c r="B91" s="67">
        <v>1000</v>
      </c>
      <c r="C91" s="68">
        <f>C89+G91</f>
        <v>-949.87048069297214</v>
      </c>
      <c r="D91" s="41">
        <f>A88*(D90+E90*(1+LN(A91))-F90/A91^2+2*H90*A91+3*I90*A91^2+4*J90*A91^3)</f>
        <v>174.31056737258021</v>
      </c>
      <c r="E91" s="41">
        <f>A88*(E90+2*F90/A91^2+2*H90*A91+6*I90*A91^2+12*J90*A91^3)</f>
        <v>87.340000000000018</v>
      </c>
      <c r="F91" s="46"/>
      <c r="G91" s="41">
        <f>10*A88*(A91*(E90-2*F90/A91^2+H90*A91+2*I90*A91^2+3*J90*A91^3)-G90)</f>
        <v>55.929519307027796</v>
      </c>
      <c r="H91" s="46"/>
      <c r="I91" s="46"/>
      <c r="J91" s="46"/>
      <c r="K91" s="46"/>
      <c r="P91" s="2" t="s">
        <v>129</v>
      </c>
      <c r="Q91" s="2">
        <v>-22.624330988032956</v>
      </c>
      <c r="R91" s="2">
        <v>55.374105478381139</v>
      </c>
      <c r="S91" s="2">
        <v>14.838547116483252</v>
      </c>
      <c r="T91" s="2">
        <v>-5.9328883276204213E-4</v>
      </c>
      <c r="U91" s="2">
        <v>0.23451801070419145</v>
      </c>
      <c r="V91" s="2">
        <v>5.4918515845811529</v>
      </c>
      <c r="W91" s="2">
        <v>0</v>
      </c>
      <c r="X91" s="2">
        <v>0</v>
      </c>
    </row>
    <row r="92" spans="1:24" x14ac:dyDescent="0.2">
      <c r="P92" s="2" t="s">
        <v>130</v>
      </c>
      <c r="Q92" s="2">
        <v>-22.624330988032956</v>
      </c>
      <c r="R92" s="2">
        <v>59.849419688495999</v>
      </c>
      <c r="S92" s="2">
        <v>19.243490288050992</v>
      </c>
      <c r="T92" s="2">
        <v>0</v>
      </c>
      <c r="U92" s="2">
        <v>0.98322208190510552</v>
      </c>
      <c r="V92" s="2">
        <v>0</v>
      </c>
      <c r="W92" s="2">
        <v>0</v>
      </c>
      <c r="X92" s="2">
        <v>0</v>
      </c>
    </row>
    <row r="93" spans="1:24" ht="13.5" x14ac:dyDescent="0.25">
      <c r="A93" s="15">
        <v>8.3145000000000007</v>
      </c>
      <c r="B93" s="1" t="s">
        <v>146</v>
      </c>
      <c r="C93" s="24" t="s">
        <v>147</v>
      </c>
      <c r="D93" s="74" t="s">
        <v>32</v>
      </c>
      <c r="E93" s="25" t="s">
        <v>15</v>
      </c>
      <c r="F93" s="26" t="s">
        <v>16</v>
      </c>
      <c r="G93" s="5" t="s">
        <v>148</v>
      </c>
      <c r="H93" s="26" t="s">
        <v>17</v>
      </c>
      <c r="I93" s="26" t="s">
        <v>18</v>
      </c>
      <c r="J93" s="26" t="s">
        <v>19</v>
      </c>
      <c r="P93" s="2" t="s">
        <v>131</v>
      </c>
      <c r="Q93" s="2">
        <v>-22.624330988032956</v>
      </c>
      <c r="R93" s="2">
        <v>67.178182692885912</v>
      </c>
      <c r="S93" s="2">
        <v>24.054398941608035</v>
      </c>
      <c r="T93" s="2">
        <v>0</v>
      </c>
      <c r="U93" s="2">
        <v>0.71285104335798899</v>
      </c>
      <c r="V93" s="2">
        <v>0</v>
      </c>
      <c r="W93" s="2">
        <v>0</v>
      </c>
      <c r="X93" s="2">
        <v>0</v>
      </c>
    </row>
    <row r="94" spans="1:24" x14ac:dyDescent="0.2">
      <c r="A94" s="29">
        <v>2.9814999999999998E-2</v>
      </c>
      <c r="B94" s="62">
        <v>-799.1</v>
      </c>
      <c r="C94" s="63">
        <f>B94-B95</f>
        <v>-799.1</v>
      </c>
      <c r="D94" s="15">
        <v>122.6</v>
      </c>
      <c r="E94" s="64">
        <v>67.989999999999995</v>
      </c>
      <c r="F94" s="64">
        <v>0</v>
      </c>
      <c r="G94" s="29">
        <f>10*A93*(A94*(E95-2*F95/A94^2+H95*A94+2*I95*A94^2+3*J95*A94^3)-G95)</f>
        <v>0</v>
      </c>
      <c r="H94" s="64">
        <v>20.92</v>
      </c>
      <c r="I94" s="64">
        <v>0</v>
      </c>
      <c r="J94" s="64">
        <v>0</v>
      </c>
    </row>
    <row r="95" spans="1:24" ht="13.5" x14ac:dyDescent="0.25">
      <c r="A95" s="65" t="s">
        <v>73</v>
      </c>
      <c r="B95" s="62"/>
      <c r="C95" s="37">
        <f>C94/(10*A93)</f>
        <v>-9.6109206807384684</v>
      </c>
      <c r="D95" s="38">
        <f>D94/A93-E95*(1+LN(A94))+F95/A94^2-2*H95*A94-3*I95*A94^2-4*J95*A94^3</f>
        <v>34.542563377126285</v>
      </c>
      <c r="E95" s="37">
        <f>E94/A93</f>
        <v>8.1772806542786682</v>
      </c>
      <c r="F95" s="38">
        <f>F94/2000/A93</f>
        <v>0</v>
      </c>
      <c r="G95" s="38">
        <f>A94*(E95-2*F95/A94^2+H95*A94+2*I95*A94^2+3*J95*A94^3)+(C94-C94)/10/A93</f>
        <v>0.2549887990781165</v>
      </c>
      <c r="H95" s="38">
        <f>0.5*H94*10/A93</f>
        <v>12.580431775813338</v>
      </c>
      <c r="I95" s="38">
        <f>I94*100/(6*A93)</f>
        <v>0</v>
      </c>
      <c r="J95" s="38">
        <f>J94*1000/(12*A93)</f>
        <v>0</v>
      </c>
      <c r="K95" s="66" t="s">
        <v>156</v>
      </c>
      <c r="P95" s="2" t="s">
        <v>132</v>
      </c>
      <c r="Q95" s="34">
        <v>-21.748752179926633</v>
      </c>
      <c r="R95" s="40">
        <v>50.140477479102763</v>
      </c>
      <c r="S95" s="40">
        <v>13.202850441998915</v>
      </c>
      <c r="T95" s="38">
        <v>-5.5973299657225328E-4</v>
      </c>
      <c r="U95" s="38">
        <v>0.2014781405977509</v>
      </c>
      <c r="V95" s="37">
        <v>25.3974382103554</v>
      </c>
      <c r="W95" s="37">
        <v>-12.783691141980876</v>
      </c>
      <c r="X95" s="37">
        <v>0</v>
      </c>
    </row>
    <row r="96" spans="1:24" x14ac:dyDescent="0.2">
      <c r="A96" s="41">
        <f>B96/10000</f>
        <v>0.1</v>
      </c>
      <c r="B96" s="67">
        <v>1000</v>
      </c>
      <c r="C96" s="68">
        <f>C94+G96</f>
        <v>-741.85104369935004</v>
      </c>
      <c r="D96" s="41">
        <f>A93*(D95+E95*(1+LN(A96))-F95/A96^2+2*H95*A96+3*I95*A96^2+4*J95*A96^3)</f>
        <v>219.5613827264514</v>
      </c>
      <c r="E96" s="41">
        <f>A93*(E95+2*F95/A96^2+2*H95*A96+6*I95*A96^2+12*J95*A96^3)</f>
        <v>88.909999999999982</v>
      </c>
      <c r="F96" s="46"/>
      <c r="G96" s="41">
        <f>10*A93*(A96*(E95-2*F95/A96^2+H95*A96+2*I95*A96^2+3*J95*A96^3)-G95)</f>
        <v>57.248956300650001</v>
      </c>
      <c r="H96" s="46"/>
      <c r="I96" s="46"/>
      <c r="J96" s="46"/>
      <c r="K96" s="46"/>
      <c r="P96" s="2" t="s">
        <v>133</v>
      </c>
      <c r="Q96" s="2">
        <v>-21.748752179926633</v>
      </c>
      <c r="R96" s="2">
        <v>62.664922725359311</v>
      </c>
      <c r="S96" s="2">
        <v>19.243490288050992</v>
      </c>
      <c r="T96" s="2">
        <v>0</v>
      </c>
      <c r="U96" s="2">
        <v>0.54827109266943286</v>
      </c>
      <c r="V96" s="2">
        <v>0</v>
      </c>
      <c r="W96" s="2">
        <v>0</v>
      </c>
      <c r="X96" s="2">
        <v>0</v>
      </c>
    </row>
    <row r="97" spans="1:24" x14ac:dyDescent="0.2">
      <c r="P97" s="2" t="s">
        <v>134</v>
      </c>
      <c r="Q97" s="2">
        <v>-21.748752179926633</v>
      </c>
      <c r="R97" s="2">
        <v>70.145528895303386</v>
      </c>
      <c r="S97" s="2">
        <v>24.05436286006374</v>
      </c>
      <c r="T97" s="2">
        <v>0</v>
      </c>
      <c r="U97" s="2">
        <v>0.29233267183835465</v>
      </c>
      <c r="V97" s="2">
        <v>0</v>
      </c>
      <c r="W97" s="2">
        <v>0</v>
      </c>
      <c r="X97" s="2">
        <v>0</v>
      </c>
    </row>
    <row r="98" spans="1:24" ht="13.5" x14ac:dyDescent="0.25">
      <c r="A98" s="15">
        <v>8.3145000000000007</v>
      </c>
      <c r="B98" s="1" t="s">
        <v>146</v>
      </c>
      <c r="C98" s="24" t="s">
        <v>147</v>
      </c>
      <c r="D98" s="74" t="s">
        <v>32</v>
      </c>
      <c r="E98" s="25" t="s">
        <v>15</v>
      </c>
      <c r="F98" s="26" t="s">
        <v>16</v>
      </c>
      <c r="G98" s="5" t="s">
        <v>148</v>
      </c>
      <c r="H98" s="26" t="s">
        <v>17</v>
      </c>
      <c r="I98" s="26" t="s">
        <v>18</v>
      </c>
      <c r="J98" s="26" t="s">
        <v>19</v>
      </c>
    </row>
    <row r="99" spans="1:24" x14ac:dyDescent="0.2">
      <c r="A99" s="29">
        <v>2.9814999999999998E-2</v>
      </c>
      <c r="B99" s="62">
        <v>-994.5</v>
      </c>
      <c r="C99" s="63">
        <f>B99-B100</f>
        <v>-994.5</v>
      </c>
      <c r="D99" s="15">
        <v>154.80000000000001</v>
      </c>
      <c r="E99" s="64">
        <v>95.11</v>
      </c>
      <c r="F99" s="64">
        <v>-2.2999999999999998</v>
      </c>
      <c r="G99" s="29">
        <f>10*A98*(A99*(E100-2*F100/A99^2+H100*A99+2*I100*A99^2+3*J100*A99^3)-G100)</f>
        <v>0</v>
      </c>
      <c r="H99" s="64">
        <v>18.75</v>
      </c>
      <c r="I99" s="64">
        <v>0</v>
      </c>
      <c r="J99" s="64">
        <v>0</v>
      </c>
      <c r="P99" s="2" t="s">
        <v>135</v>
      </c>
      <c r="Q99" s="2">
        <v>-1.4942209393228696</v>
      </c>
      <c r="R99" s="2">
        <v>29.009561609236872</v>
      </c>
      <c r="S99" s="2">
        <v>1.4303926874736905</v>
      </c>
      <c r="T99" s="2">
        <v>-4.4945577004029101E-5</v>
      </c>
      <c r="U99" s="2">
        <v>-1.555475374346022E-2</v>
      </c>
      <c r="V99" s="2">
        <v>71.353899813578693</v>
      </c>
      <c r="W99" s="2">
        <v>-222.14324373083167</v>
      </c>
      <c r="X99" s="2">
        <v>322.66522340489507</v>
      </c>
    </row>
    <row r="100" spans="1:24" ht="13.5" x14ac:dyDescent="0.25">
      <c r="A100" s="65" t="s">
        <v>74</v>
      </c>
      <c r="B100" s="62"/>
      <c r="C100" s="37">
        <f>C99/(10*A98)</f>
        <v>-11.961031932166696</v>
      </c>
      <c r="D100" s="38">
        <f>D99/A98-E100*(1+LN(A99))+F100/A99^2-2*H100*A99-3*I100*A99^2-4*J100*A99^3</f>
        <v>46.533532099681743</v>
      </c>
      <c r="E100" s="37">
        <f>E99/A98</f>
        <v>11.439052258103313</v>
      </c>
      <c r="F100" s="38">
        <f>F99/2000/A98</f>
        <v>-1.3831258644536652E-4</v>
      </c>
      <c r="G100" s="38">
        <f>A99*(E100-2*F100/A99^2+H100*A99+2*I100*A99^2+3*J100*A99^3)+(C99-C99)/10/A98</f>
        <v>0.36035655921479365</v>
      </c>
      <c r="H100" s="38">
        <f>0.5*H99*10/A98</f>
        <v>11.27548259065488</v>
      </c>
      <c r="I100" s="38">
        <f>I99*100/(6*A98)</f>
        <v>0</v>
      </c>
      <c r="J100" s="38">
        <f>J99*1000/(12*A98)</f>
        <v>0</v>
      </c>
      <c r="K100" s="66" t="s">
        <v>156</v>
      </c>
      <c r="P100" s="2" t="s">
        <v>136</v>
      </c>
      <c r="Q100" s="2">
        <v>-1.4942209393228696</v>
      </c>
      <c r="R100" s="2">
        <v>47.034457874797035</v>
      </c>
      <c r="S100" s="2">
        <v>7.2667268025738156</v>
      </c>
      <c r="T100" s="2">
        <v>6.8554934151181669E-4</v>
      </c>
      <c r="U100" s="2">
        <v>0.11850381863010402</v>
      </c>
      <c r="V100" s="2">
        <v>-8.5365325635937221</v>
      </c>
      <c r="W100" s="2">
        <v>9.2136628781045147</v>
      </c>
      <c r="X100" s="2">
        <v>-3.5703890793192614</v>
      </c>
    </row>
    <row r="101" spans="1:24" x14ac:dyDescent="0.2">
      <c r="A101" s="41">
        <f>B101/10000</f>
        <v>0.10489999999999999</v>
      </c>
      <c r="B101" s="67">
        <v>1049</v>
      </c>
      <c r="C101" s="68">
        <f>C99+G101</f>
        <v>-914.15594030621435</v>
      </c>
      <c r="D101" s="41">
        <f>A98*(D100+E100*(1+LN(A101))-F100/A101^2+2*H100*A101+3*I100*A101^2+4*J100*A101^3)</f>
        <v>287.3372502055845</v>
      </c>
      <c r="E101" s="41">
        <f>A98*(E100+2*F100/A101^2+2*H100*A101+6*I100*A101^2+12*J100*A101^3)</f>
        <v>114.56973528627292</v>
      </c>
      <c r="F101" s="46"/>
      <c r="G101" s="41">
        <f>10*A98*(A101*(E100-2*F100/A101^2+H100*A101+2*I100*A101^2+3*J100*A101^3)-G100)</f>
        <v>80.344059693785695</v>
      </c>
      <c r="H101" s="46"/>
      <c r="I101" s="46"/>
      <c r="J101" s="46"/>
      <c r="K101" s="46"/>
      <c r="L101" s="46"/>
    </row>
    <row r="102" spans="1:24" x14ac:dyDescent="0.2">
      <c r="A102" s="29">
        <f>B102/10000</f>
        <v>0.10489999999999999</v>
      </c>
      <c r="B102" s="67">
        <v>1049</v>
      </c>
      <c r="C102" s="69">
        <v>-872.5</v>
      </c>
      <c r="D102" s="70">
        <f>D101+L102</f>
        <v>327.04739349082217</v>
      </c>
      <c r="E102" s="64">
        <v>148.53</v>
      </c>
      <c r="F102" s="64">
        <v>0</v>
      </c>
      <c r="G102" s="29">
        <f>10*A98*(E103*A102-2*F103/A102-G103+H103*A102^2+2*I103*A102^3+3*J103*A102^4)</f>
        <v>121.99999999999999</v>
      </c>
      <c r="H102" s="64">
        <v>0</v>
      </c>
      <c r="I102" s="64">
        <v>0</v>
      </c>
      <c r="J102" s="64">
        <v>0</v>
      </c>
      <c r="K102" s="71">
        <f>C102-C101</f>
        <v>41.655940306214347</v>
      </c>
      <c r="L102" s="71">
        <f>K102*1000/B102</f>
        <v>39.710143285237699</v>
      </c>
      <c r="P102" s="2" t="s">
        <v>137</v>
      </c>
      <c r="Q102" s="2">
        <v>3.9344398340248956</v>
      </c>
      <c r="R102" s="2">
        <v>26.555896325696072</v>
      </c>
      <c r="S102" s="2">
        <v>1.8786697937338384</v>
      </c>
      <c r="T102" s="2">
        <v>-1.6272776474833123E-5</v>
      </c>
      <c r="U102" s="2">
        <v>-5.2029586866317876E-3</v>
      </c>
      <c r="V102" s="2">
        <v>17.1322388598232</v>
      </c>
      <c r="W102" s="2">
        <v>-43.040471465512056</v>
      </c>
      <c r="X102" s="2">
        <v>61.182271934572128</v>
      </c>
    </row>
    <row r="103" spans="1:24" ht="13.5" x14ac:dyDescent="0.25">
      <c r="A103" s="72" t="s">
        <v>75</v>
      </c>
      <c r="B103" s="73"/>
      <c r="C103" s="37">
        <f>(C99)/(10*A98)</f>
        <v>-11.961031932166696</v>
      </c>
      <c r="D103" s="38">
        <f>D102/A98-E103*(1+LN(A102))+F103/A102^2-2*H103*A102-3*I103*A102^2-4*J103*A102^3</f>
        <v>61.749363018262379</v>
      </c>
      <c r="E103" s="37">
        <f>E102/A98</f>
        <v>17.863972578026338</v>
      </c>
      <c r="F103" s="38">
        <f>F102/2000/A98</f>
        <v>0</v>
      </c>
      <c r="G103" s="37">
        <f>A102*(E103-2*F103/A102^2+H103*A102+2*I103*A102^2+3*J103*A102^3)+(C99-C102)/10/A98</f>
        <v>0.40661458897107461</v>
      </c>
      <c r="H103" s="38">
        <f>0.5*H102*10/A98</f>
        <v>0</v>
      </c>
      <c r="I103" s="38">
        <f>I102*100/(6*A98)</f>
        <v>0</v>
      </c>
      <c r="J103" s="38">
        <f>J102*1000/(12*A98)</f>
        <v>0</v>
      </c>
      <c r="P103" s="2" t="s">
        <v>138</v>
      </c>
      <c r="Q103" s="2">
        <v>3.9344398340248956</v>
      </c>
      <c r="R103" s="2">
        <v>-20.093090384268443</v>
      </c>
      <c r="S103" s="2">
        <v>-27.793974382103549</v>
      </c>
      <c r="T103" s="2">
        <v>9.6123639425100729E-2</v>
      </c>
      <c r="U103" s="2">
        <v>-3.9854952191953812</v>
      </c>
      <c r="V103" s="2">
        <v>106.62685669613325</v>
      </c>
      <c r="W103" s="2">
        <v>-73.313488483973785</v>
      </c>
      <c r="X103" s="2">
        <v>24.277467075590831</v>
      </c>
    </row>
    <row r="104" spans="1:24" x14ac:dyDescent="0.2">
      <c r="A104" s="29">
        <f>B104/10000</f>
        <v>0.17499999999999999</v>
      </c>
      <c r="B104" s="8">
        <v>1750</v>
      </c>
      <c r="C104" s="2">
        <f>C99+G104</f>
        <v>-768.38046999999995</v>
      </c>
      <c r="D104" s="29">
        <f>A98*(D103+E103*(1+LN(A104))-F103/A104^2+2*H103*A104+3*I103*A104^2+4*J103*A104^3)</f>
        <v>403.06184793498534</v>
      </c>
      <c r="E104" s="8">
        <f>A98*(E103+2*F103/A104^2+2*H103*A104+6*I103*A104^2+12*J103*A104^3)</f>
        <v>148.53</v>
      </c>
      <c r="G104" s="29">
        <f>10*A98*(E103*A104-2*F103/A104-G103+H103*A104^2+2*I103*A104^3+3*J103*A104^4)</f>
        <v>226.11953000000003</v>
      </c>
    </row>
    <row r="105" spans="1:24" ht="13.5" x14ac:dyDescent="0.25">
      <c r="A105" s="15">
        <v>8.3145000000000007</v>
      </c>
      <c r="B105" s="1" t="s">
        <v>146</v>
      </c>
      <c r="C105" s="24" t="s">
        <v>147</v>
      </c>
      <c r="D105" s="74" t="s">
        <v>32</v>
      </c>
      <c r="E105" s="25" t="s">
        <v>15</v>
      </c>
      <c r="F105" s="26" t="s">
        <v>16</v>
      </c>
      <c r="G105" s="5" t="s">
        <v>148</v>
      </c>
      <c r="H105" s="26" t="s">
        <v>17</v>
      </c>
      <c r="I105" s="26" t="s">
        <v>18</v>
      </c>
      <c r="J105" s="26" t="s">
        <v>19</v>
      </c>
      <c r="P105" s="2" t="s">
        <v>139</v>
      </c>
      <c r="Q105" s="2">
        <v>0</v>
      </c>
      <c r="R105" s="2">
        <v>13.497143544410365</v>
      </c>
      <c r="S105" s="2">
        <v>2.1994106681099281</v>
      </c>
      <c r="T105" s="2">
        <v>1.2783691141980878E-4</v>
      </c>
      <c r="U105" s="2">
        <v>-1.6816405075470563E-2</v>
      </c>
      <c r="V105" s="2">
        <v>13.561729508689638</v>
      </c>
      <c r="W105" s="2">
        <v>0</v>
      </c>
      <c r="X105" s="2">
        <v>0</v>
      </c>
    </row>
    <row r="106" spans="1:24" x14ac:dyDescent="0.2">
      <c r="A106" s="29">
        <v>2.9814999999999998E-2</v>
      </c>
      <c r="B106" s="62">
        <v>-703.9</v>
      </c>
      <c r="C106" s="63">
        <f>B106-B107</f>
        <v>-703.9</v>
      </c>
      <c r="D106" s="15">
        <v>363.6</v>
      </c>
      <c r="E106" s="64">
        <v>82.87</v>
      </c>
      <c r="F106" s="64">
        <v>-4.3</v>
      </c>
      <c r="G106" s="29">
        <f>10*A105*(A106*(E107-2*F107/A106^2+H107*A106+2*I107*A106^2+3*J107*A106^3)-G107)</f>
        <v>0</v>
      </c>
      <c r="H106" s="64">
        <v>0.17</v>
      </c>
      <c r="I106" s="64">
        <v>0</v>
      </c>
      <c r="J106" s="64">
        <v>0</v>
      </c>
      <c r="P106" s="2" t="s">
        <v>140</v>
      </c>
      <c r="Q106" s="2">
        <v>0</v>
      </c>
      <c r="R106" s="2">
        <v>20.685789885140416</v>
      </c>
      <c r="S106" s="2">
        <v>5.4122316435143416</v>
      </c>
      <c r="T106" s="2">
        <v>0</v>
      </c>
      <c r="U106" s="2">
        <v>0.13680918876661252</v>
      </c>
      <c r="V106" s="2">
        <v>0</v>
      </c>
      <c r="W106" s="2">
        <v>0</v>
      </c>
      <c r="X106" s="2">
        <v>0</v>
      </c>
    </row>
    <row r="107" spans="1:24" ht="13.5" x14ac:dyDescent="0.25">
      <c r="A107" s="65" t="s">
        <v>76</v>
      </c>
      <c r="B107" s="62"/>
      <c r="C107" s="37">
        <f>C106/(10*A105)</f>
        <v>-8.4659330085994338</v>
      </c>
      <c r="D107" s="38">
        <f>D106/A105-E107*(1+LN(A106))+F107/A106^2-2*H107*A106-3*I107*A106^2-4*J107*A106^3</f>
        <v>68.478171226648712</v>
      </c>
      <c r="E107" s="37">
        <f>E106/A105</f>
        <v>9.966925251067412</v>
      </c>
      <c r="F107" s="38">
        <f>F106/2000/A105</f>
        <v>-2.5858440074568524E-4</v>
      </c>
      <c r="G107" s="38">
        <f>A106*(E107-2*F107/A106^2+H107*A106+2*I107*A106^2+3*J107*A106^3)+(C106-C106)/10/A105</f>
        <v>0.31460067962986499</v>
      </c>
      <c r="H107" s="38">
        <f>0.5*H106*10/A105</f>
        <v>0.10223104215527092</v>
      </c>
      <c r="I107" s="38">
        <f>I106*100/(6*A105)</f>
        <v>0</v>
      </c>
      <c r="J107" s="38">
        <f>J106*1000/(12*A105)</f>
        <v>0</v>
      </c>
      <c r="K107" s="66" t="s">
        <v>156</v>
      </c>
      <c r="P107" s="2" t="s">
        <v>141</v>
      </c>
      <c r="Q107" s="2">
        <v>0</v>
      </c>
      <c r="R107" s="2">
        <v>16.206987792410846</v>
      </c>
      <c r="S107" s="2">
        <v>1.3868783450598352</v>
      </c>
      <c r="T107" s="2">
        <v>1.7507968007697397E-2</v>
      </c>
      <c r="U107" s="2">
        <v>-0.61282097540441394</v>
      </c>
      <c r="V107" s="2">
        <v>7.7097841120933293</v>
      </c>
      <c r="W107" s="2">
        <v>0</v>
      </c>
      <c r="X107" s="2">
        <v>0</v>
      </c>
    </row>
    <row r="108" spans="1:24" x14ac:dyDescent="0.2">
      <c r="A108" s="41">
        <f>B108/10000</f>
        <v>0.2</v>
      </c>
      <c r="B108" s="67">
        <v>2000</v>
      </c>
      <c r="C108" s="68">
        <f>C106+G108</f>
        <v>-563.76247350782512</v>
      </c>
      <c r="D108" s="41">
        <f>A105*(D107+E107*(1+LN(A108))-F107/A108^2+2*H107*A108+3*I107*A108^2+4*J107*A108^3)</f>
        <v>519.25138486055687</v>
      </c>
      <c r="E108" s="41">
        <f>A105*(E107+2*F107/A108^2+2*H107*A108+6*I107*A108^2+12*J107*A108^3)</f>
        <v>83.102500000000006</v>
      </c>
      <c r="F108" s="46"/>
      <c r="G108" s="41">
        <f>10*A105*(A108*(E107-2*F107/A108^2+H107*A108+2*I107*A108^2+3*J107*A108^3)-G107)</f>
        <v>140.13752649217486</v>
      </c>
      <c r="H108" s="46"/>
      <c r="I108" s="46"/>
      <c r="J108" s="46"/>
      <c r="K108" s="46"/>
      <c r="P108" s="2" t="s">
        <v>142</v>
      </c>
      <c r="Q108" s="2">
        <v>0</v>
      </c>
      <c r="R108" s="2">
        <v>21.212580431775812</v>
      </c>
      <c r="S108" s="2">
        <v>5.2558782849239281</v>
      </c>
      <c r="T108" s="2">
        <v>0</v>
      </c>
      <c r="U108" s="2">
        <v>2.7506163930482889E-2</v>
      </c>
      <c r="V108" s="2">
        <v>0</v>
      </c>
      <c r="W108" s="2">
        <v>0</v>
      </c>
      <c r="X108" s="2">
        <v>0</v>
      </c>
    </row>
    <row r="110" spans="1:24" ht="13.5" x14ac:dyDescent="0.25">
      <c r="A110" s="15">
        <v>8.3145000000000007</v>
      </c>
      <c r="B110" s="1" t="s">
        <v>146</v>
      </c>
      <c r="C110" s="24" t="s">
        <v>147</v>
      </c>
      <c r="D110" s="74" t="s">
        <v>32</v>
      </c>
      <c r="E110" s="25" t="s">
        <v>15</v>
      </c>
      <c r="F110" s="26" t="s">
        <v>16</v>
      </c>
      <c r="G110" s="5" t="s">
        <v>148</v>
      </c>
      <c r="H110" s="26" t="s">
        <v>17</v>
      </c>
      <c r="I110" s="26" t="s">
        <v>18</v>
      </c>
      <c r="J110" s="26" t="s">
        <v>19</v>
      </c>
      <c r="P110" s="2" t="s">
        <v>165</v>
      </c>
      <c r="Q110" s="2">
        <v>-10.953154128330024</v>
      </c>
      <c r="R110" s="2">
        <v>-92.287930723434954</v>
      </c>
      <c r="S110" s="2">
        <v>-26.567213903421731</v>
      </c>
      <c r="T110" s="2">
        <v>2.5586505502435499E-3</v>
      </c>
      <c r="U110" s="2">
        <v>-0.58728005291959817</v>
      </c>
      <c r="V110" s="2">
        <v>696.92104155391178</v>
      </c>
      <c r="W110" s="2">
        <v>3412.7969210415536</v>
      </c>
      <c r="X110" s="2">
        <v>8867.159781105298</v>
      </c>
    </row>
    <row r="111" spans="1:24" x14ac:dyDescent="0.2">
      <c r="A111" s="29">
        <v>2.9814999999999998E-2</v>
      </c>
      <c r="B111" s="62">
        <v>-1005.4</v>
      </c>
      <c r="C111" s="63">
        <f>B111-B112</f>
        <v>-1005.4</v>
      </c>
      <c r="D111" s="15">
        <v>154</v>
      </c>
      <c r="E111" s="64">
        <v>102.81</v>
      </c>
      <c r="F111" s="64">
        <v>-7.1</v>
      </c>
      <c r="G111" s="29">
        <f>10*A110*(A111*(E112-2*F112/A111^2+H112*A111+2*I112*A111^2+3*J112*A111^3)-G112)</f>
        <v>0</v>
      </c>
      <c r="H111" s="64">
        <v>4.59</v>
      </c>
      <c r="I111" s="64">
        <v>0</v>
      </c>
      <c r="J111" s="64">
        <v>0</v>
      </c>
      <c r="P111" s="2" t="s">
        <v>166</v>
      </c>
      <c r="Q111" s="2">
        <v>-10.953154128330024</v>
      </c>
      <c r="R111" s="2">
        <v>21.87636057489927</v>
      </c>
      <c r="S111" s="2">
        <v>7.0265439894160791</v>
      </c>
      <c r="T111" s="2">
        <v>1.1630284442840819E-4</v>
      </c>
      <c r="U111" s="2">
        <v>0.13388297552468578</v>
      </c>
      <c r="V111" s="2">
        <v>6.2101148595826565</v>
      </c>
      <c r="W111" s="2">
        <v>0</v>
      </c>
      <c r="X111" s="2">
        <v>0</v>
      </c>
    </row>
    <row r="112" spans="1:24" ht="13.5" x14ac:dyDescent="0.25">
      <c r="A112" s="65" t="s">
        <v>77</v>
      </c>
      <c r="B112" s="62"/>
      <c r="C112" s="37">
        <f>C111/(10*A110)</f>
        <v>-12.092128209754042</v>
      </c>
      <c r="D112" s="38">
        <f>D111/A110-E112*(1+LN(A111))+F112/A111^2-2*H112*A111-3*I112*A111^2-4*J112*A111^3</f>
        <v>48.947395573823151</v>
      </c>
      <c r="E112" s="37">
        <f>E111/A110</f>
        <v>12.365145228215766</v>
      </c>
      <c r="F112" s="38">
        <f>F111/2000/A110</f>
        <v>-4.2696494076613139E-4</v>
      </c>
      <c r="G112" s="38">
        <f>A111*(E112-2*F112/A111^2+H112*A111+2*I112*A111^2+3*J112*A111^3)+(C111-C111)/10/A110</f>
        <v>0.39976142369668255</v>
      </c>
      <c r="H112" s="38">
        <f>0.5*H111*10/A110</f>
        <v>2.7602381381923142</v>
      </c>
      <c r="I112" s="38">
        <f>I111*100/(6*A110)</f>
        <v>0</v>
      </c>
      <c r="J112" s="38">
        <f>J111*1000/(12*A110)</f>
        <v>0</v>
      </c>
      <c r="K112" s="66" t="s">
        <v>156</v>
      </c>
      <c r="P112" s="2" t="s">
        <v>177</v>
      </c>
      <c r="Q112" s="2">
        <v>-10.953154128330024</v>
      </c>
      <c r="R112" s="2">
        <v>26.617234950989232</v>
      </c>
      <c r="S112" s="2">
        <v>9.3310722232244867</v>
      </c>
      <c r="T112" s="2">
        <v>-2.6784533044680978E-3</v>
      </c>
      <c r="U112" s="2">
        <v>0.30701786036442358</v>
      </c>
      <c r="V112" s="2">
        <v>-3.6534969030007813</v>
      </c>
      <c r="W112" s="2">
        <v>5.5673822839617531</v>
      </c>
      <c r="X112" s="2">
        <v>0</v>
      </c>
    </row>
    <row r="113" spans="1:24" x14ac:dyDescent="0.2">
      <c r="A113" s="41">
        <f>B113/10000</f>
        <v>9.9299999999999999E-2</v>
      </c>
      <c r="B113" s="67">
        <v>993</v>
      </c>
      <c r="C113" s="68">
        <f>C111+G113</f>
        <v>-933.569846083014</v>
      </c>
      <c r="D113" s="41">
        <f>A110*(D112+E112*(1+LN(A113))-F112/A113^2+2*H112*A113+3*I112*A113^2+4*J112*A113^3)</f>
        <v>277.25003910252337</v>
      </c>
      <c r="E113" s="41">
        <f>A110*(E112+2*F112/A113^2+2*H112*A113+6*I112*A113^2+12*J112*A113^3)</f>
        <v>106.64782464728425</v>
      </c>
      <c r="F113" s="46"/>
      <c r="G113" s="41">
        <f>10*A110*(A113*(E112-2*F112/A113^2+H112*A113+2*I112*A113^2+3*J112*A113^3)-G112)</f>
        <v>71.830153916986035</v>
      </c>
      <c r="H113" s="46"/>
      <c r="I113" s="46"/>
      <c r="J113" s="46"/>
      <c r="K113" s="46"/>
      <c r="L113" s="46"/>
      <c r="P113" s="2" t="s">
        <v>167</v>
      </c>
      <c r="Q113" s="2">
        <v>-10.953154128330024</v>
      </c>
      <c r="R113" s="2">
        <v>26.904925130795593</v>
      </c>
      <c r="S113" s="2">
        <v>10.042732575620901</v>
      </c>
      <c r="T113" s="2">
        <v>0</v>
      </c>
      <c r="U113" s="2">
        <v>0.36377412953274396</v>
      </c>
      <c r="V113" s="2">
        <v>0</v>
      </c>
      <c r="W113" s="2">
        <v>0</v>
      </c>
      <c r="X113" s="2">
        <v>0</v>
      </c>
    </row>
    <row r="114" spans="1:24" x14ac:dyDescent="0.2">
      <c r="A114" s="29">
        <f>B114/10000</f>
        <v>9.9299999999999999E-2</v>
      </c>
      <c r="B114" s="67">
        <v>993</v>
      </c>
      <c r="C114" s="69">
        <v>-889.3</v>
      </c>
      <c r="D114" s="70">
        <f>D113+L114</f>
        <v>321.83195862217497</v>
      </c>
      <c r="E114" s="64">
        <v>143.51</v>
      </c>
      <c r="F114" s="64">
        <v>0</v>
      </c>
      <c r="G114" s="29">
        <f>10*A110*(E115*A114-2*F115/A114-G115+H115*A114^2+2*I115*A114^3+3*J115*A114^4)</f>
        <v>116.10000000000004</v>
      </c>
      <c r="H114" s="64">
        <v>0</v>
      </c>
      <c r="I114" s="64">
        <v>0</v>
      </c>
      <c r="J114" s="64">
        <v>0</v>
      </c>
      <c r="K114" s="71">
        <f>C114-C113</f>
        <v>44.269846083014045</v>
      </c>
      <c r="L114" s="71">
        <f>K114*1000/B114</f>
        <v>44.581919519651606</v>
      </c>
    </row>
    <row r="115" spans="1:24" ht="13.5" x14ac:dyDescent="0.25">
      <c r="A115" s="72" t="s">
        <v>78</v>
      </c>
      <c r="B115" s="73"/>
      <c r="C115" s="37">
        <f>(C111)/(10*A110)</f>
        <v>-12.092128209754042</v>
      </c>
      <c r="D115" s="38">
        <f>D114/A110-E115*(1+LN(A114))+F115/A114^2-2*H115*A114-3*I115*A114^2-4*J115*A114^3</f>
        <v>61.311449613007895</v>
      </c>
      <c r="E115" s="37">
        <f>E114/A110</f>
        <v>17.260208070238736</v>
      </c>
      <c r="F115" s="38">
        <f>F114/2000/A110</f>
        <v>0</v>
      </c>
      <c r="G115" s="37">
        <f>A114*(E115-2*F115/A114^2+H115*A114+2*I115*A114^2+3*J115*A114^3)+(C111-C114)/10/A110</f>
        <v>0.31758289734800593</v>
      </c>
      <c r="H115" s="38">
        <f>0.5*H114*10/A110</f>
        <v>0</v>
      </c>
      <c r="I115" s="38">
        <f>I114*100/(6*A110)</f>
        <v>0</v>
      </c>
      <c r="J115" s="38">
        <f>J114*1000/(12*A110)</f>
        <v>0</v>
      </c>
      <c r="P115" s="2" t="s">
        <v>168</v>
      </c>
      <c r="Q115" s="2">
        <v>-20.153947922304404</v>
      </c>
      <c r="R115" s="2">
        <v>32.273137290276019</v>
      </c>
      <c r="S115" s="2">
        <v>11.673113235913164</v>
      </c>
      <c r="T115" s="2">
        <v>-1.5854110289253711E-3</v>
      </c>
      <c r="U115" s="2">
        <v>0.35477659510493714</v>
      </c>
      <c r="V115" s="2">
        <v>23.465030969992181</v>
      </c>
      <c r="W115" s="2">
        <v>0</v>
      </c>
      <c r="X115" s="2">
        <v>0</v>
      </c>
    </row>
    <row r="116" spans="1:24" x14ac:dyDescent="0.2">
      <c r="A116" s="29">
        <f>B116/10000</f>
        <v>0.17499999999999999</v>
      </c>
      <c r="B116" s="8">
        <v>1750</v>
      </c>
      <c r="C116" s="2">
        <f>C111+G116</f>
        <v>-780.66292999999996</v>
      </c>
      <c r="D116" s="29">
        <f>A110*(D115+E115*(1+LN(A116))-F115/A116^2+2*H115*A116+3*I115*A116^2+4*J115*A116^3)</f>
        <v>403.15052283839123</v>
      </c>
      <c r="E116" s="8">
        <f>A110*(E115+2*F115/A116^2+2*H115*A116+6*I115*A116^2+12*J115*A116^3)</f>
        <v>143.51</v>
      </c>
      <c r="G116" s="29">
        <f>10*A110*(E115*A116-2*F115/A116-G115+H115*A116^2+2*I115*A116^3+3*J115*A116^4)</f>
        <v>224.73707000000002</v>
      </c>
      <c r="P116" s="2" t="s">
        <v>169</v>
      </c>
      <c r="Q116" s="2">
        <v>-20.153947922304404</v>
      </c>
      <c r="R116" s="2">
        <v>39.781947200673521</v>
      </c>
      <c r="S116" s="2">
        <v>14.754837933730229</v>
      </c>
      <c r="T116" s="2">
        <v>-3.0211077034097054E-3</v>
      </c>
      <c r="U116" s="2">
        <v>0.51796860905646758</v>
      </c>
      <c r="V116" s="2">
        <v>4.1366287810451619</v>
      </c>
      <c r="W116" s="2">
        <v>0</v>
      </c>
      <c r="X116" s="2">
        <v>0</v>
      </c>
    </row>
    <row r="117" spans="1:24" ht="13.5" x14ac:dyDescent="0.25">
      <c r="A117" s="15">
        <v>8.3145000000000007</v>
      </c>
      <c r="B117" s="1" t="s">
        <v>146</v>
      </c>
      <c r="C117" s="24" t="s">
        <v>147</v>
      </c>
      <c r="D117" s="74" t="s">
        <v>32</v>
      </c>
      <c r="E117" s="25" t="s">
        <v>15</v>
      </c>
      <c r="F117" s="26" t="s">
        <v>16</v>
      </c>
      <c r="G117" s="5" t="s">
        <v>148</v>
      </c>
      <c r="H117" s="26" t="s">
        <v>17</v>
      </c>
      <c r="I117" s="26" t="s">
        <v>18</v>
      </c>
      <c r="J117" s="26" t="s">
        <v>19</v>
      </c>
      <c r="P117" s="2" t="s">
        <v>170</v>
      </c>
      <c r="Q117" s="2">
        <v>-20.153947922304404</v>
      </c>
      <c r="R117" s="2">
        <v>36.55758013109628</v>
      </c>
      <c r="S117" s="2">
        <v>12.937784593180586</v>
      </c>
      <c r="T117" s="2">
        <v>0</v>
      </c>
      <c r="U117" s="2">
        <v>0.33348968669192375</v>
      </c>
      <c r="V117" s="2">
        <v>9.9641589993385029</v>
      </c>
      <c r="W117" s="2">
        <v>0</v>
      </c>
      <c r="X117" s="2">
        <v>0</v>
      </c>
    </row>
    <row r="118" spans="1:24" x14ac:dyDescent="0.2">
      <c r="A118" s="29">
        <v>2.9814999999999998E-2</v>
      </c>
      <c r="B118" s="62">
        <v>-712.9</v>
      </c>
      <c r="C118" s="63">
        <f>B118-B119</f>
        <v>-712.9</v>
      </c>
      <c r="D118" s="15">
        <v>363.6</v>
      </c>
      <c r="E118" s="64">
        <v>81.680000000000007</v>
      </c>
      <c r="F118" s="64">
        <v>-3.6</v>
      </c>
      <c r="G118" s="29">
        <f>10*A117*(A118*(E119-2*F119/A118^2+H119*A118+2*I119*A118^2+3*J119*A118^3)-G119)</f>
        <v>0</v>
      </c>
      <c r="H118" s="64">
        <v>1.74</v>
      </c>
      <c r="I118" s="64">
        <v>0</v>
      </c>
      <c r="J118" s="64">
        <v>0</v>
      </c>
      <c r="P118" s="2" t="s">
        <v>171</v>
      </c>
      <c r="Q118" s="2">
        <v>-20.153947922304404</v>
      </c>
      <c r="R118" s="2">
        <v>50.000240543628593</v>
      </c>
      <c r="S118" s="2">
        <v>19.592278549521918</v>
      </c>
      <c r="T118" s="2">
        <v>0</v>
      </c>
      <c r="U118" s="2">
        <v>2.6339527331769798E-3</v>
      </c>
      <c r="V118" s="2">
        <v>0</v>
      </c>
      <c r="W118" s="2">
        <v>0</v>
      </c>
      <c r="X118" s="2">
        <v>0</v>
      </c>
    </row>
    <row r="119" spans="1:24" ht="13.5" x14ac:dyDescent="0.25">
      <c r="A119" s="65" t="s">
        <v>79</v>
      </c>
      <c r="B119" s="62"/>
      <c r="C119" s="37">
        <f>C118/(10*A117)</f>
        <v>-8.5741776414697206</v>
      </c>
      <c r="D119" s="38">
        <f>D118/A117-E119*(1+LN(A118))+F119/A118^2-2*H119*A118-3*I119*A118^2-4*J119*A118^3</f>
        <v>68.109594579516511</v>
      </c>
      <c r="E119" s="37">
        <f>E118/A117</f>
        <v>9.8238017920500322</v>
      </c>
      <c r="F119" s="38">
        <f>F118/2000/A117</f>
        <v>-2.1648926574057366E-4</v>
      </c>
      <c r="G119" s="38">
        <f>A118*(E119-2*F119/A118^2+H119*A118+2*I119*A118^2+3*J119*A118^3)+(C118-C118)/10/A117</f>
        <v>0.30834897100318703</v>
      </c>
      <c r="H119" s="38">
        <f>0.5*H118*10/A117</f>
        <v>1.0463647844127728</v>
      </c>
      <c r="I119" s="38">
        <f>I118*100/(6*A117)</f>
        <v>0</v>
      </c>
      <c r="J119" s="38">
        <f>J118*1000/(12*A117)</f>
        <v>0</v>
      </c>
      <c r="K119" s="66" t="s">
        <v>156</v>
      </c>
    </row>
    <row r="120" spans="1:24" x14ac:dyDescent="0.2">
      <c r="A120" s="41">
        <f>B120/10000</f>
        <v>0.2</v>
      </c>
      <c r="B120" s="67">
        <v>2000</v>
      </c>
      <c r="C120" s="68">
        <f>C118+G120</f>
        <v>-571.51767519405996</v>
      </c>
      <c r="D120" s="41">
        <f>A117*(D119+E119*(1+LN(A120))-F119/A120^2+2*H119*A120+3*I119*A120^2+4*J119*A120^3)</f>
        <v>520.04333544377278</v>
      </c>
      <c r="E120" s="41">
        <f>A117*(E119+2*F119/A120^2+2*H119*A120+6*I119*A120^2+12*J119*A120^3)</f>
        <v>85.070000000000007</v>
      </c>
      <c r="F120" s="46"/>
      <c r="G120" s="41">
        <f>10*A117*(A120*(E119-2*F119/A120^2+H119*A120+2*I119*A120^2+3*J119*A120^3)-G119)</f>
        <v>141.38232480593999</v>
      </c>
      <c r="H120" s="46"/>
      <c r="I120" s="46"/>
      <c r="J120" s="46"/>
      <c r="K120" s="46"/>
      <c r="N120" s="2">
        <f>Q120*10000*P25</f>
        <v>-6848499.9999999991</v>
      </c>
      <c r="O120" s="2" t="s">
        <v>172</v>
      </c>
      <c r="P120" s="2" t="s">
        <v>173</v>
      </c>
      <c r="Q120" s="2">
        <f>Q110*2+3*Q115</f>
        <v>-82.368152023573259</v>
      </c>
      <c r="R120" s="2">
        <f t="shared" ref="R120:X120" si="7">R110*0.4+0.6*R115</f>
        <v>-17.551289915208375</v>
      </c>
      <c r="S120" s="2">
        <f t="shared" si="7"/>
        <v>-3.6230176198207955</v>
      </c>
      <c r="T120" s="2">
        <f t="shared" si="7"/>
        <v>7.2213602742197416E-5</v>
      </c>
      <c r="U120" s="2">
        <f t="shared" si="7"/>
        <v>-2.2046064104877E-2</v>
      </c>
      <c r="V120" s="2">
        <f t="shared" si="7"/>
        <v>292.84743520356</v>
      </c>
      <c r="W120" s="2">
        <f t="shared" si="7"/>
        <v>1365.1187684166216</v>
      </c>
      <c r="X120" s="2">
        <f t="shared" si="7"/>
        <v>3546.8639124421193</v>
      </c>
    </row>
    <row r="121" spans="1:24" x14ac:dyDescent="0.2">
      <c r="O121" s="2" t="s">
        <v>172</v>
      </c>
      <c r="P121" s="2" t="s">
        <v>174</v>
      </c>
      <c r="Q121" s="2">
        <v>-82.368152023573259</v>
      </c>
      <c r="R121" s="2">
        <f t="shared" ref="R121:X121" si="8">R110*0.4+0.6*R116</f>
        <v>-13.046003968969874</v>
      </c>
      <c r="S121" s="2">
        <f t="shared" si="8"/>
        <v>-1.7739828011305558</v>
      </c>
      <c r="T121" s="2">
        <f t="shared" si="8"/>
        <v>-7.8920440194840311E-4</v>
      </c>
      <c r="U121" s="2">
        <f t="shared" si="8"/>
        <v>7.5869144266041244E-2</v>
      </c>
      <c r="V121" s="2">
        <f t="shared" si="8"/>
        <v>281.25039389019179</v>
      </c>
      <c r="W121" s="2">
        <f t="shared" si="8"/>
        <v>1365.1187684166216</v>
      </c>
      <c r="X121" s="2">
        <f t="shared" si="8"/>
        <v>3546.8639124421193</v>
      </c>
    </row>
    <row r="122" spans="1:24" ht="13.5" x14ac:dyDescent="0.25">
      <c r="A122" s="15">
        <v>8.3145000000000007</v>
      </c>
      <c r="B122" s="1" t="s">
        <v>146</v>
      </c>
      <c r="C122" s="24" t="s">
        <v>147</v>
      </c>
      <c r="D122" s="74" t="s">
        <v>32</v>
      </c>
      <c r="E122" s="25" t="s">
        <v>15</v>
      </c>
      <c r="F122" s="26" t="s">
        <v>16</v>
      </c>
      <c r="G122" s="5" t="s">
        <v>148</v>
      </c>
      <c r="H122" s="26" t="s">
        <v>17</v>
      </c>
      <c r="I122" s="26" t="s">
        <v>18</v>
      </c>
      <c r="J122" s="26" t="s">
        <v>19</v>
      </c>
      <c r="O122" s="2" t="s">
        <v>172</v>
      </c>
      <c r="P122" s="2" t="s">
        <v>175</v>
      </c>
      <c r="Q122" s="2">
        <v>-82.368152023573259</v>
      </c>
      <c r="R122" s="2">
        <f t="shared" ref="R122:X122" si="9">R111*0.4+0.6*R116</f>
        <v>32.619712550363815</v>
      </c>
      <c r="S122" s="2">
        <f t="shared" si="9"/>
        <v>11.66352035600457</v>
      </c>
      <c r="T122" s="2">
        <f t="shared" si="9"/>
        <v>-1.7661434842744599E-3</v>
      </c>
      <c r="U122" s="2">
        <f t="shared" si="9"/>
        <v>0.36433435564375483</v>
      </c>
      <c r="V122" s="2">
        <f t="shared" si="9"/>
        <v>4.9660232124601595</v>
      </c>
      <c r="W122" s="2">
        <f t="shared" si="9"/>
        <v>0</v>
      </c>
      <c r="X122" s="2">
        <f t="shared" si="9"/>
        <v>0</v>
      </c>
    </row>
    <row r="123" spans="1:24" x14ac:dyDescent="0.2">
      <c r="A123" s="29">
        <v>2.9814999999999998E-2</v>
      </c>
      <c r="B123" s="62">
        <v>-1041.8</v>
      </c>
      <c r="C123" s="63">
        <f>B123-B124</f>
        <v>-1041.8</v>
      </c>
      <c r="D123" s="15">
        <v>153.5</v>
      </c>
      <c r="E123" s="64">
        <v>85.63</v>
      </c>
      <c r="F123" s="64">
        <v>0</v>
      </c>
      <c r="G123" s="29">
        <f>10*A122*(A123*(E124-2*F124/A123^2+H124*A123+2*I124*A123^2+3*J124*A123^3)-G124)</f>
        <v>0</v>
      </c>
      <c r="H123" s="64">
        <v>45.25</v>
      </c>
      <c r="I123" s="64">
        <v>0</v>
      </c>
      <c r="J123" s="64">
        <v>0</v>
      </c>
      <c r="O123" s="2" t="s">
        <v>172</v>
      </c>
      <c r="P123" s="2" t="s">
        <v>176</v>
      </c>
      <c r="Q123" s="2">
        <v>-82.368152023573259</v>
      </c>
      <c r="R123" s="2">
        <f t="shared" ref="R123:X123" si="10">R112*0.4+0.6*R117</f>
        <v>32.581442059053458</v>
      </c>
      <c r="S123" s="2">
        <f t="shared" si="10"/>
        <v>11.495099645198145</v>
      </c>
      <c r="T123" s="2">
        <f t="shared" si="10"/>
        <v>-1.0713813217872392E-3</v>
      </c>
      <c r="U123" s="2">
        <f t="shared" si="10"/>
        <v>0.32290095616092368</v>
      </c>
      <c r="V123" s="2">
        <f t="shared" si="10"/>
        <v>4.5170966384027889</v>
      </c>
      <c r="W123" s="2">
        <f t="shared" si="10"/>
        <v>2.2269529135847015</v>
      </c>
      <c r="X123" s="2">
        <f t="shared" si="10"/>
        <v>0</v>
      </c>
    </row>
    <row r="124" spans="1:24" ht="13.5" x14ac:dyDescent="0.25">
      <c r="A124" s="65" t="s">
        <v>80</v>
      </c>
      <c r="B124" s="62"/>
      <c r="C124" s="37">
        <f>C123/(10*A122)</f>
        <v>-12.529917613807202</v>
      </c>
      <c r="D124" s="38">
        <f>D123/A122-E124*(1+LN(A123))+F124/A123^2-2*H124*A123-3*I124*A123^2-4*J124*A123^3</f>
        <v>42.717535846790213</v>
      </c>
      <c r="E124" s="37">
        <f>E123/A122</f>
        <v>10.29887545853629</v>
      </c>
      <c r="F124" s="38">
        <f>F123/2000/A122</f>
        <v>0</v>
      </c>
      <c r="G124" s="38">
        <f>A123*(E124-2*F124/A123^2+H124*A123+2*I124*A123^2+3*J124*A123^3)+(C123-C123)/10/A122</f>
        <v>0.33125020366904195</v>
      </c>
      <c r="H124" s="38">
        <f>0.5*H123*10/A122</f>
        <v>27.211497985447107</v>
      </c>
      <c r="I124" s="38">
        <f>I123*100/(6*A122)</f>
        <v>0</v>
      </c>
      <c r="J124" s="38">
        <f>J123*1000/(12*A122)</f>
        <v>0</v>
      </c>
      <c r="K124" s="66" t="s">
        <v>156</v>
      </c>
      <c r="O124" s="2" t="s">
        <v>172</v>
      </c>
      <c r="P124" s="2" t="s">
        <v>178</v>
      </c>
      <c r="Q124" s="2">
        <v>-82.368152023573259</v>
      </c>
      <c r="R124" s="2">
        <f t="shared" ref="R124:X124" si="11">R113*0.4+0.6*R117</f>
        <v>32.696518130976003</v>
      </c>
      <c r="S124" s="2">
        <f t="shared" si="11"/>
        <v>11.77976378615671</v>
      </c>
      <c r="T124" s="2">
        <f t="shared" si="11"/>
        <v>0</v>
      </c>
      <c r="U124" s="2">
        <f t="shared" si="11"/>
        <v>0.3456034638282518</v>
      </c>
      <c r="V124" s="2">
        <f t="shared" si="11"/>
        <v>5.9784953996031014</v>
      </c>
      <c r="W124" s="2">
        <f t="shared" si="11"/>
        <v>0</v>
      </c>
      <c r="X124" s="2">
        <f t="shared" si="11"/>
        <v>0</v>
      </c>
    </row>
    <row r="125" spans="1:24" x14ac:dyDescent="0.2">
      <c r="A125" s="41">
        <f>B125/10000</f>
        <v>0.1032</v>
      </c>
      <c r="B125" s="67">
        <v>1032</v>
      </c>
      <c r="C125" s="68">
        <f>C123+G125</f>
        <v>-956.87547018406246</v>
      </c>
      <c r="D125" s="41">
        <f>A122*(D124+E124*(1+LN(A125))-F124/A125^2+2*H124*A125+3*I124*A125^2+4*J124*A125^3)</f>
        <v>293.02982114535109</v>
      </c>
      <c r="E125" s="41">
        <f>A122*(E124+2*F124/A125^2+2*H124*A125+6*I124*A125^2+12*J124*A125^3)</f>
        <v>132.328</v>
      </c>
      <c r="F125" s="46"/>
      <c r="G125" s="41">
        <f>10*A122*(A125*(E124-2*F124/A125^2+H124*A125+2*I124*A125^2+3*J124*A125^3)-G124)</f>
        <v>84.924529815937504</v>
      </c>
      <c r="H125" s="46"/>
      <c r="I125" s="46"/>
      <c r="J125" s="46"/>
      <c r="K125" s="46"/>
      <c r="L125" s="46"/>
      <c r="O125" s="2" t="s">
        <v>172</v>
      </c>
      <c r="P125" s="2" t="s">
        <v>179</v>
      </c>
      <c r="Q125" s="2">
        <v>-82.368152023573259</v>
      </c>
      <c r="R125" s="2">
        <f t="shared" ref="R125:X125" si="12">R113*0.4+0.6*R118</f>
        <v>40.76211437849539</v>
      </c>
      <c r="S125" s="2">
        <f t="shared" si="12"/>
        <v>15.772460159961511</v>
      </c>
      <c r="T125" s="2">
        <f t="shared" si="12"/>
        <v>0</v>
      </c>
      <c r="U125" s="2">
        <f t="shared" si="12"/>
        <v>0.14709002345300376</v>
      </c>
      <c r="V125" s="2">
        <f t="shared" si="12"/>
        <v>0</v>
      </c>
      <c r="W125" s="2">
        <f t="shared" si="12"/>
        <v>0</v>
      </c>
      <c r="X125" s="2">
        <f t="shared" si="12"/>
        <v>0</v>
      </c>
    </row>
    <row r="126" spans="1:24" x14ac:dyDescent="0.2">
      <c r="A126" s="41">
        <f>B126/10000</f>
        <v>0.1032</v>
      </c>
      <c r="B126" s="67">
        <v>1032</v>
      </c>
      <c r="C126" s="69">
        <v>-906.7</v>
      </c>
      <c r="D126" s="70">
        <f>D125+L126</f>
        <v>341.64946279657437</v>
      </c>
      <c r="E126" s="64">
        <v>146.44</v>
      </c>
      <c r="F126" s="64">
        <v>0</v>
      </c>
      <c r="G126" s="29">
        <f>10*A122*(E127*A126-2*F127/A126-G127+H127*A126^2+2*I127*A126^3+3*J127*A126^4)</f>
        <v>135.09999999999991</v>
      </c>
      <c r="H126" s="64">
        <v>0</v>
      </c>
      <c r="I126" s="64">
        <v>0</v>
      </c>
      <c r="J126" s="64">
        <v>0</v>
      </c>
      <c r="K126" s="71">
        <f>C126-C125</f>
        <v>50.175470184062419</v>
      </c>
      <c r="L126" s="71">
        <f>K126*1000/B126</f>
        <v>48.619641651223276</v>
      </c>
    </row>
    <row r="127" spans="1:24" ht="13.5" x14ac:dyDescent="0.25">
      <c r="A127" s="72" t="s">
        <v>81</v>
      </c>
      <c r="B127" s="73"/>
      <c r="C127" s="37">
        <f>(C123)/(10*A122)</f>
        <v>-12.529917613807202</v>
      </c>
      <c r="D127" s="38">
        <f>D126/A122-E127*(1+LN(A126))+F127/A126^2-2*H127*A126-3*I127*A126^2-4*J127*A126^3</f>
        <v>63.477943232960257</v>
      </c>
      <c r="E127" s="37">
        <f>E126/A122</f>
        <v>17.612604486138672</v>
      </c>
      <c r="F127" s="38">
        <f>F126/2000/A122</f>
        <v>0</v>
      </c>
      <c r="G127" s="37">
        <f>A126*(E127-2*F127/A126^2+H127*A126+2*I127*A126^2+3*J127*A126^3)+(C123-C126)/10/A122</f>
        <v>0.19274857177220639</v>
      </c>
      <c r="H127" s="38">
        <f>0.5*H126*10/A122</f>
        <v>0</v>
      </c>
      <c r="I127" s="38">
        <f>I126*100/(6*A122)</f>
        <v>0</v>
      </c>
      <c r="J127" s="38">
        <f>J126*1000/(12*A122)</f>
        <v>0</v>
      </c>
    </row>
    <row r="128" spans="1:24" x14ac:dyDescent="0.2">
      <c r="A128" s="29">
        <f>B128/10000</f>
        <v>0.17499999999999999</v>
      </c>
      <c r="B128" s="8">
        <v>1750</v>
      </c>
      <c r="C128" s="2">
        <f>C123+G128</f>
        <v>-801.55608000000007</v>
      </c>
      <c r="D128" s="29">
        <f>A122*(D127+E127*(1+LN(A128))-F127/A128^2+2*H127*A128+3*I127*A128^2+4*J127*A128^3)</f>
        <v>418.98693397766334</v>
      </c>
      <c r="E128" s="8">
        <f>A122*(E127+2*F127/A128^2+2*H127*A128+6*I127*A128^2+12*J127*A128^3)</f>
        <v>146.44</v>
      </c>
      <c r="G128" s="29">
        <f>10*A122*(E127*A128-2*F127/A128-G127+H127*A128^2+2*I127*A128^3+3*J127*A128^4)</f>
        <v>240.24391999999989</v>
      </c>
    </row>
    <row r="129" spans="1:12" ht="13.5" x14ac:dyDescent="0.25">
      <c r="A129" s="15">
        <v>8.3145000000000007</v>
      </c>
      <c r="B129" s="1" t="s">
        <v>146</v>
      </c>
      <c r="C129" s="24" t="s">
        <v>147</v>
      </c>
      <c r="D129" s="74" t="s">
        <v>32</v>
      </c>
      <c r="E129" s="25" t="s">
        <v>15</v>
      </c>
      <c r="F129" s="26" t="s">
        <v>16</v>
      </c>
      <c r="G129" s="5" t="s">
        <v>148</v>
      </c>
      <c r="H129" s="26" t="s">
        <v>17</v>
      </c>
      <c r="I129" s="26" t="s">
        <v>18</v>
      </c>
      <c r="J129" s="26" t="s">
        <v>19</v>
      </c>
    </row>
    <row r="130" spans="1:12" x14ac:dyDescent="0.2">
      <c r="A130" s="29">
        <v>2.9814999999999998E-2</v>
      </c>
      <c r="B130" s="62">
        <v>-719.1</v>
      </c>
      <c r="C130" s="63">
        <f>B130-B131</f>
        <v>-719.1</v>
      </c>
      <c r="D130" s="15">
        <v>374.4</v>
      </c>
      <c r="E130" s="64">
        <v>83.39</v>
      </c>
      <c r="F130" s="64">
        <v>-5.6</v>
      </c>
      <c r="G130" s="29">
        <f>10*A129*(A130*(E131-2*F131/A130^2+H131*A130+2*I131*A130^2+3*J131*A130^3)-G131)</f>
        <v>0</v>
      </c>
      <c r="H130" s="64">
        <v>3.99</v>
      </c>
      <c r="I130" s="64">
        <v>0</v>
      </c>
      <c r="J130" s="64">
        <v>0</v>
      </c>
    </row>
    <row r="131" spans="1:12" ht="13.5" x14ac:dyDescent="0.25">
      <c r="A131" s="65" t="s">
        <v>82</v>
      </c>
      <c r="B131" s="62"/>
      <c r="C131" s="37">
        <f>C130/(10*A129)</f>
        <v>-8.6487461663359184</v>
      </c>
      <c r="D131" s="38">
        <f>D130/A129-E131*(1+LN(A130))+F131/A130^2-2*H131*A130-3*I131*A130^2-4*J131*A130^3</f>
        <v>69.709331368023967</v>
      </c>
      <c r="E131" s="37">
        <f>E130/A129</f>
        <v>10.029466594503578</v>
      </c>
      <c r="F131" s="38">
        <f>F130/2000/A129</f>
        <v>-3.3676108004089241E-4</v>
      </c>
      <c r="G131" s="38">
        <f>A130*(E131-2*F131/A130^2+H131*A130+2*I131*A130^2+3*J131*A130^3)+(C130-C130)/10/A129</f>
        <v>0.32375151940956881</v>
      </c>
      <c r="H131" s="38">
        <f>0.5*H130*10/A129</f>
        <v>2.3994226952913587</v>
      </c>
      <c r="I131" s="38">
        <f>I130*100/(6*A129)</f>
        <v>0</v>
      </c>
      <c r="J131" s="38">
        <f>J130*1000/(12*A129)</f>
        <v>0</v>
      </c>
      <c r="K131" s="66" t="s">
        <v>156</v>
      </c>
    </row>
    <row r="132" spans="1:12" x14ac:dyDescent="0.2">
      <c r="A132" s="41">
        <f>B132/10000</f>
        <v>0.2</v>
      </c>
      <c r="B132" s="67">
        <v>2000</v>
      </c>
      <c r="C132" s="68">
        <f>C130+G132</f>
        <v>-570.97832008130854</v>
      </c>
      <c r="D132" s="41">
        <f>A129*(D131+E131*(1+LN(A132))-F131/A132^2+2*H131*A132+3*I131*A132^2+4*J131*A132^3)</f>
        <v>536.82720814155573</v>
      </c>
      <c r="E132" s="41">
        <f>A129*(E131+2*F131/A132^2+2*H131*A132+6*I131*A132^2+12*J131*A132^3)</f>
        <v>91.23</v>
      </c>
      <c r="F132" s="46"/>
      <c r="G132" s="41">
        <f>10*A129*(A132*(E131-2*F131/A132^2+H131*A132+2*I131*A132^2+3*J131*A132^3)-G131)</f>
        <v>148.12167991869146</v>
      </c>
      <c r="H132" s="46"/>
      <c r="I132" s="46"/>
      <c r="J132" s="46"/>
      <c r="K132" s="46"/>
    </row>
    <row r="134" spans="1:12" ht="13.5" x14ac:dyDescent="0.25">
      <c r="A134" s="15">
        <v>8.3145000000000007</v>
      </c>
      <c r="B134" s="1" t="s">
        <v>146</v>
      </c>
      <c r="C134" s="24" t="s">
        <v>147</v>
      </c>
      <c r="D134" s="74" t="s">
        <v>32</v>
      </c>
      <c r="E134" s="25" t="s">
        <v>15</v>
      </c>
      <c r="F134" s="26" t="s">
        <v>16</v>
      </c>
      <c r="G134" s="5" t="s">
        <v>148</v>
      </c>
      <c r="H134" s="26" t="s">
        <v>17</v>
      </c>
      <c r="I134" s="26" t="s">
        <v>18</v>
      </c>
      <c r="J134" s="26" t="s">
        <v>19</v>
      </c>
    </row>
    <row r="135" spans="1:12" x14ac:dyDescent="0.2">
      <c r="A135" s="29">
        <v>2.9814999999999998E-2</v>
      </c>
      <c r="B135" s="62">
        <v>-988.1</v>
      </c>
      <c r="C135" s="63">
        <f>B135-B136</f>
        <v>-988.1</v>
      </c>
      <c r="D135" s="15">
        <v>159</v>
      </c>
      <c r="E135" s="64">
        <v>95.6</v>
      </c>
      <c r="F135" s="64">
        <v>-1.3</v>
      </c>
      <c r="G135" s="29">
        <f>10*A134*(A135*(E136-2*F136/A135^2+H136*A135+2*I136*A135^2+3*J136*A135^3)-G136)</f>
        <v>0</v>
      </c>
      <c r="H135" s="64">
        <v>11.72</v>
      </c>
      <c r="I135" s="64">
        <v>0</v>
      </c>
      <c r="J135" s="64">
        <v>0</v>
      </c>
    </row>
    <row r="136" spans="1:12" ht="13.5" x14ac:dyDescent="0.25">
      <c r="A136" s="65" t="s">
        <v>83</v>
      </c>
      <c r="B136" s="62"/>
      <c r="C136" s="37">
        <f>C135/(10*A134)</f>
        <v>-11.884057971014492</v>
      </c>
      <c r="D136" s="38">
        <f>D135/A134-E136*(1+LN(A135))+F136/A135^2-2*H136*A135-3*I136*A135^2-4*J136*A135^3</f>
        <v>47.506496223061951</v>
      </c>
      <c r="E136" s="37">
        <f>E135/A134</f>
        <v>11.497985447110468</v>
      </c>
      <c r="F136" s="38">
        <f>F135/2000/A134</f>
        <v>-7.8176679295207153E-5</v>
      </c>
      <c r="G136" s="38">
        <f>A135*(E136-2*F136/A135^2+H136*A135+2*I136*A135^2+3*J136*A135^3)+(C135-C135)/10/A134</f>
        <v>0.35432169814611175</v>
      </c>
      <c r="H136" s="38">
        <f>0.5*H135*10/A134</f>
        <v>7.0479283179986769</v>
      </c>
      <c r="I136" s="38">
        <f>I135*100/(6*A134)</f>
        <v>0</v>
      </c>
      <c r="J136" s="38">
        <f>J135*1000/(12*A134)</f>
        <v>0</v>
      </c>
      <c r="K136" s="66" t="s">
        <v>156</v>
      </c>
    </row>
    <row r="137" spans="1:12" x14ac:dyDescent="0.2">
      <c r="A137" s="41">
        <f>B137/10000</f>
        <v>0.1101</v>
      </c>
      <c r="B137" s="67">
        <v>1101</v>
      </c>
      <c r="C137" s="68">
        <f>C135+G137</f>
        <v>-905.08290525461098</v>
      </c>
      <c r="D137" s="41">
        <f>A134*(D136+E136*(1+LN(A137))-F136/A137^2+2*H136*A137+3*I136*A137^2+4*J136*A137^3)</f>
        <v>292.62149222678045</v>
      </c>
      <c r="E137" s="41">
        <f>A134*(E136+2*F136/A137^2+2*H136*A137+6*I136*A137^2+12*J136*A137^3)</f>
        <v>108.39647705926657</v>
      </c>
      <c r="F137" s="46"/>
      <c r="G137" s="41">
        <f>10*A134*(A137*(E136-2*F136/A137^2+H136*A137+2*I136*A137^2+3*J136*A137^3)-G136)</f>
        <v>83.017094745389059</v>
      </c>
      <c r="H137" s="46"/>
      <c r="I137" s="46"/>
      <c r="J137" s="46"/>
      <c r="K137" s="46"/>
      <c r="L137" s="46"/>
    </row>
    <row r="138" spans="1:12" x14ac:dyDescent="0.2">
      <c r="A138" s="41">
        <f>B138/10000</f>
        <v>0.1101</v>
      </c>
      <c r="B138" s="67">
        <v>1101</v>
      </c>
      <c r="C138" s="69">
        <v>-859.7</v>
      </c>
      <c r="D138" s="70">
        <f>D137+L138</f>
        <v>333.84120635449244</v>
      </c>
      <c r="E138" s="64">
        <v>148.53</v>
      </c>
      <c r="F138" s="64">
        <v>0</v>
      </c>
      <c r="G138" s="29">
        <f>10*A134*(E139*A138-2*F139/A138-G139+H139*A138^2+2*I139*A138^3+3*J139*A138^4)</f>
        <v>128.4</v>
      </c>
      <c r="H138" s="64">
        <v>0</v>
      </c>
      <c r="I138" s="64">
        <v>0</v>
      </c>
      <c r="J138" s="64">
        <v>0</v>
      </c>
      <c r="K138" s="71">
        <f>C138-C137</f>
        <v>45.382905254610932</v>
      </c>
      <c r="L138" s="71">
        <f>K138*1000/B138</f>
        <v>41.219714127712017</v>
      </c>
    </row>
    <row r="139" spans="1:12" ht="13.5" x14ac:dyDescent="0.25">
      <c r="A139" s="72" t="s">
        <v>84</v>
      </c>
      <c r="B139" s="73"/>
      <c r="C139" s="37">
        <f>(C135)/(10*A134)</f>
        <v>-11.884057971014492</v>
      </c>
      <c r="D139" s="38">
        <f>D138/A134-E139*(1+LN(A138))+F139/A138^2-2*H139*A138-3*I139*A138^2-4*J139*A138^3</f>
        <v>61.702180922087344</v>
      </c>
      <c r="E139" s="37">
        <f>E138/A134</f>
        <v>17.863972578026338</v>
      </c>
      <c r="F139" s="38">
        <f>F138/2000/A134</f>
        <v>0</v>
      </c>
      <c r="G139" s="37">
        <f>A138*(E139-2*F139/A138^2+H139*A138+2*I139*A138^2+3*J139*A138^3)+(C135-C138)/10/A134</f>
        <v>0.42253328522460776</v>
      </c>
      <c r="H139" s="38">
        <f>0.5*H138*10/A134</f>
        <v>0</v>
      </c>
      <c r="I139" s="38">
        <f>I138*100/(6*A134)</f>
        <v>0</v>
      </c>
      <c r="J139" s="38">
        <f>J138*1000/(12*A134)</f>
        <v>0</v>
      </c>
    </row>
    <row r="140" spans="1:12" x14ac:dyDescent="0.2">
      <c r="A140" s="29">
        <f>B140/10000</f>
        <v>0.18</v>
      </c>
      <c r="B140" s="8">
        <v>1800</v>
      </c>
      <c r="C140" s="2">
        <f>C135+G140</f>
        <v>-755.87752999999998</v>
      </c>
      <c r="D140" s="29">
        <f>A134*(D139+E139*(1+LN(A140))-F139/A140^2+2*H139*A140+3*I139*A140^2+4*J139*A140^3)</f>
        <v>406.85377275220145</v>
      </c>
      <c r="E140" s="8">
        <f>A134*(E139+2*F139/A140^2+2*H139*A140+6*I139*A140^2+12*J139*A140^3)</f>
        <v>148.53</v>
      </c>
      <c r="G140" s="29">
        <f>10*A134*(E139*A140-2*F139/A140-G139+H139*A140^2+2*I139*A140^3+3*J139*A140^4)</f>
        <v>232.22246999999999</v>
      </c>
    </row>
    <row r="141" spans="1:12" ht="13.5" x14ac:dyDescent="0.25">
      <c r="A141" s="15">
        <v>8.3145000000000007</v>
      </c>
      <c r="B141" s="1" t="s">
        <v>146</v>
      </c>
      <c r="C141" s="24" t="s">
        <v>147</v>
      </c>
      <c r="D141" s="74" t="s">
        <v>32</v>
      </c>
      <c r="E141" s="25" t="s">
        <v>15</v>
      </c>
      <c r="F141" s="26" t="s">
        <v>16</v>
      </c>
      <c r="G141" s="5" t="s">
        <v>148</v>
      </c>
      <c r="H141" s="26" t="s">
        <v>17</v>
      </c>
      <c r="I141" s="26" t="s">
        <v>18</v>
      </c>
      <c r="J141" s="26" t="s">
        <v>19</v>
      </c>
    </row>
    <row r="142" spans="1:12" x14ac:dyDescent="0.2">
      <c r="A142" s="29">
        <v>2.9814999999999998E-2</v>
      </c>
      <c r="B142" s="62">
        <v>-691.1</v>
      </c>
      <c r="C142" s="63">
        <f>B142-B143</f>
        <v>-691.1</v>
      </c>
      <c r="D142" s="15">
        <v>364.6</v>
      </c>
      <c r="E142" s="64">
        <v>82.88</v>
      </c>
      <c r="F142" s="64">
        <v>-4.3</v>
      </c>
      <c r="G142" s="29">
        <f>10*A141*(A142*(E143-2*F143/A142^2+H143*A142+2*I143*A142^2+3*J143*A142^3)-G143)</f>
        <v>0</v>
      </c>
      <c r="H142" s="64">
        <v>0.16</v>
      </c>
      <c r="I142" s="64">
        <v>0</v>
      </c>
      <c r="J142" s="64">
        <v>0</v>
      </c>
    </row>
    <row r="143" spans="1:12" ht="13.5" x14ac:dyDescent="0.25">
      <c r="A143" s="65" t="s">
        <v>85</v>
      </c>
      <c r="B143" s="62"/>
      <c r="C143" s="37">
        <f>C142/(10*A141)</f>
        <v>-8.3119850862950262</v>
      </c>
      <c r="D143" s="38">
        <f>D142/A141-E143*(1+LN(A142))+F143/A142^2-2*H143*A142-3*I143*A142^2-4*J143*A142^3</f>
        <v>68.601823753747638</v>
      </c>
      <c r="E143" s="37">
        <f>E142/A141</f>
        <v>9.9681279692104141</v>
      </c>
      <c r="F143" s="38">
        <f>F142/2000/A141</f>
        <v>-2.5858440074568524E-4</v>
      </c>
      <c r="G143" s="38">
        <f>A142*(E143-2*F143/A142^2+H143*A142+2*I143*A142^2+3*J143*A142^3)+(C142-C142)/10/A141</f>
        <v>0.31463119298469688</v>
      </c>
      <c r="H143" s="38">
        <f>0.5*H142*10/A141</f>
        <v>9.6217451440254981E-2</v>
      </c>
      <c r="I143" s="38">
        <f>I142*100/(6*A141)</f>
        <v>0</v>
      </c>
      <c r="J143" s="38">
        <f>J142*1000/(12*A141)</f>
        <v>0</v>
      </c>
      <c r="K143" s="66" t="s">
        <v>156</v>
      </c>
    </row>
    <row r="144" spans="1:12" x14ac:dyDescent="0.2">
      <c r="A144" s="41">
        <f>B144/10000</f>
        <v>0.2</v>
      </c>
      <c r="B144" s="67">
        <v>2000</v>
      </c>
      <c r="C144" s="68">
        <f>C142+G144</f>
        <v>-550.96501054071268</v>
      </c>
      <c r="D144" s="41">
        <f>A141*(D143+E143*(1+LN(A144))-F143/A144^2+2*H143*A144+3*I143*A144^2+4*J143*A144^3)</f>
        <v>520.25339941799655</v>
      </c>
      <c r="E144" s="41">
        <f>A141*(E143+2*F143/A144^2+2*H143*A144+6*I143*A144^2+12*J143*A144^3)</f>
        <v>83.092500000000001</v>
      </c>
      <c r="F144" s="46"/>
      <c r="G144" s="41">
        <f>10*A141*(A144*(E143-2*F143/A144^2+H143*A144+2*I143*A144^2+3*J143*A144^3)-G143)</f>
        <v>140.13498945928737</v>
      </c>
      <c r="H144" s="46"/>
      <c r="I144" s="46"/>
      <c r="J144" s="46"/>
      <c r="K144" s="46"/>
    </row>
    <row r="146" spans="1:12" ht="13.5" x14ac:dyDescent="0.25">
      <c r="A146" s="15">
        <v>8.3145000000000007</v>
      </c>
      <c r="B146" s="1" t="s">
        <v>146</v>
      </c>
      <c r="C146" s="24" t="s">
        <v>147</v>
      </c>
      <c r="D146" s="74" t="s">
        <v>32</v>
      </c>
      <c r="E146" s="25" t="s">
        <v>15</v>
      </c>
      <c r="F146" s="26" t="s">
        <v>16</v>
      </c>
      <c r="G146" s="5" t="s">
        <v>148</v>
      </c>
      <c r="H146" s="26" t="s">
        <v>17</v>
      </c>
      <c r="I146" s="26" t="s">
        <v>18</v>
      </c>
      <c r="J146" s="26" t="s">
        <v>19</v>
      </c>
    </row>
    <row r="147" spans="1:12" ht="13.5" x14ac:dyDescent="0.25">
      <c r="A147" s="29">
        <v>2.9814999999999998E-2</v>
      </c>
      <c r="B147" s="30">
        <v>-1692.4</v>
      </c>
      <c r="C147" s="31">
        <f>B147-B148</f>
        <v>-1692.4</v>
      </c>
      <c r="D147" s="18">
        <v>110</v>
      </c>
      <c r="E147" s="32">
        <v>86.11</v>
      </c>
      <c r="F147" s="32">
        <v>16</v>
      </c>
      <c r="G147" s="33">
        <f>10*A146*(A147*(E148-2*F148/A147^2+H148*A147+2*I148*A147^2+3*J148*A147^3)-G148)</f>
        <v>0</v>
      </c>
      <c r="H147" s="32">
        <v>24.85</v>
      </c>
      <c r="I147" s="32">
        <v>0</v>
      </c>
      <c r="J147" s="32">
        <v>0</v>
      </c>
      <c r="K147" s="28"/>
      <c r="L147" s="28"/>
    </row>
    <row r="148" spans="1:12" ht="13.5" x14ac:dyDescent="0.25">
      <c r="A148" s="36" t="s">
        <v>86</v>
      </c>
      <c r="B148" s="30"/>
      <c r="C148" s="37">
        <f>C147/(10*A146)</f>
        <v>-20.35480185218594</v>
      </c>
      <c r="D148" s="38">
        <f>D147/A146-E148*(1+LN(A147))+F148/A147^2-2*H148*A147-3*I148*A147^2-4*J148*A147^3</f>
        <v>39.444689367791007</v>
      </c>
      <c r="E148" s="37">
        <f>E147/A146</f>
        <v>10.356605929400445</v>
      </c>
      <c r="F148" s="38">
        <f>F147/2000/A146</f>
        <v>9.6217451440254974E-4</v>
      </c>
      <c r="G148" s="38">
        <f>A147*(E148-2*F148/A147^2+H148*A147+2*I148*A147^2+3*J148*A147^3)+(C147-C147)/10/A146</f>
        <v>0.25752325430360995</v>
      </c>
      <c r="H148" s="38">
        <f>0.5*H147*10/A146</f>
        <v>14.943772926814599</v>
      </c>
      <c r="I148" s="38">
        <f>I147*100/(6*A146)</f>
        <v>0</v>
      </c>
      <c r="J148" s="38">
        <f>J147*1000/(12*A146)</f>
        <v>0</v>
      </c>
      <c r="K148" s="56" t="s">
        <v>94</v>
      </c>
      <c r="L148" s="28"/>
    </row>
    <row r="149" spans="1:12" ht="13.5" x14ac:dyDescent="0.25">
      <c r="A149" s="41">
        <f>B149/10000</f>
        <v>0.13900000000000001</v>
      </c>
      <c r="B149" s="78">
        <v>1390</v>
      </c>
      <c r="C149" s="43">
        <f>C147+G149</f>
        <v>-1571.2636076157644</v>
      </c>
      <c r="D149" s="44">
        <f>A146*(D148+E148*(1+LN(A149))-F148/A149^2+2*H148*A149+3*I148*A149^2+4*J148*A149^3)</f>
        <v>278.28105581381658</v>
      </c>
      <c r="E149" s="44">
        <f>A146*(E148+2*F148/A149^2+2*H148*A149+6*I148*A149^2+12*J148*A149^3)</f>
        <v>121.47961448682781</v>
      </c>
      <c r="F149" s="45"/>
      <c r="G149" s="44">
        <f>10*A146*(A149*(E148-2*F148/A149^2+H148*A149+2*I148*A149^2+3*J148*A149^3)-G148)</f>
        <v>121.13639238423572</v>
      </c>
      <c r="H149" s="45"/>
      <c r="I149" s="45"/>
      <c r="J149" s="45"/>
      <c r="K149" s="45"/>
      <c r="L149" s="45"/>
    </row>
    <row r="150" spans="1:12" ht="13.5" x14ac:dyDescent="0.25">
      <c r="A150" s="49">
        <f>B150/10000</f>
        <v>0.13900000000000001</v>
      </c>
      <c r="B150" s="42">
        <v>1390</v>
      </c>
      <c r="C150" s="1">
        <v>-1541.7</v>
      </c>
      <c r="D150" s="50">
        <f>D149+L150</f>
        <v>299.549838271201</v>
      </c>
      <c r="E150" s="32">
        <v>135.19999999999999</v>
      </c>
      <c r="F150" s="32">
        <v>0</v>
      </c>
      <c r="G150" s="33">
        <f>10*A146*(E151*A150-2*F151/A150-G151+H151*A150^2+2*I151*A150^3+3*J151*A150^4)</f>
        <v>150.70000000000005</v>
      </c>
      <c r="H150" s="32">
        <v>0</v>
      </c>
      <c r="I150" s="32">
        <v>0</v>
      </c>
      <c r="J150" s="32">
        <v>0</v>
      </c>
      <c r="K150" s="51">
        <f>C150-C149</f>
        <v>29.56360761576434</v>
      </c>
      <c r="L150" s="51">
        <f>K150*1000/B150</f>
        <v>21.268782457384418</v>
      </c>
    </row>
    <row r="151" spans="1:12" ht="13.5" x14ac:dyDescent="0.25">
      <c r="A151" s="36" t="s">
        <v>87</v>
      </c>
      <c r="B151" s="53"/>
      <c r="C151" s="37">
        <f>(C147)/(10*A146)</f>
        <v>-20.35480185218594</v>
      </c>
      <c r="D151" s="38">
        <f>D150/A146-E151*(1+LN(A150))+F151/A150^2-2*H151*A150-3*I151*A150^2-4*J151*A150^3</f>
        <v>51.853686479080679</v>
      </c>
      <c r="E151" s="37">
        <f>E150/A146</f>
        <v>16.260749293403087</v>
      </c>
      <c r="F151" s="38">
        <f>F150/2000/A146</f>
        <v>0</v>
      </c>
      <c r="G151" s="37">
        <f>A150*(E151-2*F151/A150^2+H151*A150+2*I151*A150^2+3*J151*A150^3)+(C147-C150)/10/A146</f>
        <v>0.44774791027722594</v>
      </c>
      <c r="H151" s="38">
        <f>0.5*H150*10/A146</f>
        <v>0</v>
      </c>
      <c r="I151" s="38">
        <f>I150*100/(6*A146)</f>
        <v>0</v>
      </c>
      <c r="J151" s="38">
        <f>J150*1000/(12*A146)</f>
        <v>0</v>
      </c>
      <c r="K151" s="56" t="s">
        <v>94</v>
      </c>
      <c r="L151" s="28"/>
    </row>
    <row r="152" spans="1:12" ht="13.5" x14ac:dyDescent="0.25">
      <c r="A152" s="41">
        <f>B152/10000</f>
        <v>0.1419</v>
      </c>
      <c r="B152" s="55">
        <v>1419</v>
      </c>
      <c r="C152" s="45">
        <f>C147+G152</f>
        <v>-1537.7792000000002</v>
      </c>
      <c r="D152" s="44">
        <f>A146*(D151+E151*(1+LN(A152))-F151/A152^2+2*H151*A152+3*I151*A152^2+4*J151*A152^3)</f>
        <v>302.34153589117426</v>
      </c>
      <c r="E152" s="55">
        <f>A146*(E151+2*F151/A152^2+2*H151*A152+6*I151*A152^2+12*J151*A152^3)</f>
        <v>135.19999999999999</v>
      </c>
      <c r="F152" s="45"/>
      <c r="G152" s="44">
        <f>10*A146*(E151*A152-2*F151/A152-G151+H151*A152^2+2*I151*A152^3+3*J151*A152^4)</f>
        <v>154.6208</v>
      </c>
      <c r="H152" s="45"/>
      <c r="I152" s="45"/>
      <c r="J152" s="45"/>
      <c r="K152" s="45"/>
      <c r="L152" s="45"/>
    </row>
    <row r="153" spans="1:12" ht="13.5" x14ac:dyDescent="0.25">
      <c r="A153" s="2">
        <f>B153/10000</f>
        <v>0.1419</v>
      </c>
      <c r="B153" s="51">
        <v>1419</v>
      </c>
      <c r="C153" s="1">
        <v>-1509.6</v>
      </c>
      <c r="D153" s="50">
        <f>D152+L153</f>
        <v>322.20002778687564</v>
      </c>
      <c r="E153" s="32">
        <v>139.12</v>
      </c>
      <c r="F153" s="32">
        <v>0</v>
      </c>
      <c r="G153" s="33">
        <f>10*A146*(E154*A153-2*F154/A153-G154+H154*A153^2+2*I154*A153^3+3*J154*A153^4)</f>
        <v>182.80000000000018</v>
      </c>
      <c r="H153" s="32">
        <v>0</v>
      </c>
      <c r="I153" s="32">
        <v>0</v>
      </c>
      <c r="J153" s="32">
        <v>0</v>
      </c>
      <c r="K153" s="51">
        <f>C153-C152</f>
        <v>28.179200000000264</v>
      </c>
      <c r="L153" s="51">
        <f>K153*1000/B153</f>
        <v>19.858491895701384</v>
      </c>
    </row>
    <row r="154" spans="1:12" ht="13.5" x14ac:dyDescent="0.25">
      <c r="A154" s="36" t="s">
        <v>93</v>
      </c>
      <c r="B154" s="53"/>
      <c r="C154" s="56">
        <f>(C147)/(10*A146)</f>
        <v>-20.35480185218594</v>
      </c>
      <c r="D154" s="38">
        <f>D153/A146-E154*(1+LN(A153))+F154/A153^2-2*H154*A153-3*I154*A153^2-4*J154*A153^3</f>
        <v>54.691236789908835</v>
      </c>
      <c r="E154" s="37">
        <f>E153/A146</f>
        <v>16.732214805460341</v>
      </c>
      <c r="F154" s="38">
        <f>F153/2000/A146</f>
        <v>0</v>
      </c>
      <c r="G154" s="37">
        <f>A153*(E154-2*F154/A153^2+H154*A153+2*I154*A153^2+3*J154*A153^3)+(C147-C153)/10/A146</f>
        <v>0.17573251548499425</v>
      </c>
      <c r="H154" s="38">
        <f>0.5*H153*10/A146</f>
        <v>0</v>
      </c>
      <c r="I154" s="38">
        <f>I153*100/(6*A146)</f>
        <v>0</v>
      </c>
      <c r="J154" s="38">
        <f>J153*1000/(12*A146)</f>
        <v>0</v>
      </c>
      <c r="K154" s="56" t="s">
        <v>94</v>
      </c>
      <c r="L154" s="28"/>
    </row>
    <row r="155" spans="1:12" ht="13.5" x14ac:dyDescent="0.25">
      <c r="A155" s="46">
        <f>B155/10000</f>
        <v>0.2</v>
      </c>
      <c r="B155" s="45">
        <v>2000</v>
      </c>
      <c r="C155" s="45">
        <f>C147+G155</f>
        <v>-1428.7712799999999</v>
      </c>
      <c r="D155" s="44">
        <f>A146*(D154+E154*(1+LN(A155))-F154/A155^2+2*H154*A155+3*I154*A155^2+4*J154*A155^3)</f>
        <v>369.94528591186497</v>
      </c>
      <c r="E155" s="55">
        <f>A146*(E154+2*F154/A155^2+2*H154*A155+6*I154*A155^2+12*J154*A155^3)</f>
        <v>139.12</v>
      </c>
      <c r="F155" s="45"/>
      <c r="G155" s="44">
        <f>10*A146*(E154*A155-2*F154/A155-G154+H154*A155^2+2*I154*A155^3+3*J154*A155^4)</f>
        <v>263.62872000000021</v>
      </c>
      <c r="H155" s="45"/>
      <c r="I155" s="45"/>
      <c r="J155" s="45"/>
      <c r="K155" s="45"/>
      <c r="L155" s="28"/>
    </row>
    <row r="156" spans="1:12" ht="13.5" x14ac:dyDescent="0.25">
      <c r="A156" s="15">
        <v>8.3145000000000007</v>
      </c>
      <c r="B156" s="1" t="s">
        <v>146</v>
      </c>
      <c r="C156" s="24" t="s">
        <v>147</v>
      </c>
      <c r="D156" s="25" t="s">
        <v>32</v>
      </c>
      <c r="E156" s="25" t="s">
        <v>15</v>
      </c>
      <c r="F156" s="26" t="s">
        <v>16</v>
      </c>
      <c r="G156" s="5" t="s">
        <v>148</v>
      </c>
      <c r="H156" s="26" t="s">
        <v>17</v>
      </c>
      <c r="I156" s="26" t="s">
        <v>18</v>
      </c>
      <c r="J156" s="26" t="s">
        <v>19</v>
      </c>
    </row>
    <row r="157" spans="1:12" ht="13.5" x14ac:dyDescent="0.25">
      <c r="A157" s="29">
        <v>2.9814999999999998E-2</v>
      </c>
      <c r="B157" s="30">
        <v>-1244.7</v>
      </c>
      <c r="C157" s="31">
        <f>B157-B158</f>
        <v>-1244.7</v>
      </c>
      <c r="D157" s="32">
        <v>340.1</v>
      </c>
      <c r="E157" s="32">
        <v>81.290000000000006</v>
      </c>
      <c r="F157" s="32">
        <v>-9.4</v>
      </c>
      <c r="G157" s="33">
        <f>10*A156*(A157*(E158-2*F158/A157^2+H158*A157+2*I158*A157^2+3*J158*A157^3)-G158)</f>
        <v>0</v>
      </c>
      <c r="H157" s="32">
        <v>1.0900000000000001</v>
      </c>
      <c r="I157" s="32">
        <v>0</v>
      </c>
      <c r="J157" s="32">
        <v>0</v>
      </c>
      <c r="K157" s="28"/>
    </row>
    <row r="158" spans="1:12" ht="13.5" x14ac:dyDescent="0.25">
      <c r="A158" s="36" t="s">
        <v>95</v>
      </c>
      <c r="B158" s="30"/>
      <c r="C158" s="37">
        <f>C157/(10*A156)</f>
        <v>-14.97023272596067</v>
      </c>
      <c r="D158" s="38">
        <f>D157/A156-E158*(1+LN(A157))+F158/A157^2-2*H158*A157-3*I158*A157^2-4*J158*A157^3</f>
        <v>64.796285765181338</v>
      </c>
      <c r="E158" s="37">
        <f>E157/A156</f>
        <v>9.7768957844729094</v>
      </c>
      <c r="F158" s="38">
        <f>F157/2000/A156</f>
        <v>-5.6527752721149797E-4</v>
      </c>
      <c r="G158" s="38">
        <f>A157*(E158-2*F158/A157^2+H158*A157+2*I158*A157^2+3*J158*A157^3)+(C157-C157)/10/A156</f>
        <v>0.32999982998210592</v>
      </c>
      <c r="H158" s="38">
        <f>0.5*H157*10/A156</f>
        <v>0.65548138793673705</v>
      </c>
      <c r="I158" s="38">
        <f>I157*100/(6*A156)</f>
        <v>0</v>
      </c>
      <c r="J158" s="38">
        <f>J157*1000/(12*A156)</f>
        <v>0</v>
      </c>
      <c r="K158" s="39" t="s">
        <v>94</v>
      </c>
    </row>
    <row r="159" spans="1:12" ht="13.5" x14ac:dyDescent="0.25">
      <c r="A159" s="41">
        <f>B159/10000</f>
        <v>0.2</v>
      </c>
      <c r="B159" s="78">
        <v>2000</v>
      </c>
      <c r="C159" s="43">
        <f>C157+G159</f>
        <v>-1106.9078358638621</v>
      </c>
      <c r="D159" s="44">
        <f>A156*(D158+E158*(1+LN(A159))-F158/A159^2+2*H158*A159+3*I158*A159^2+4*J158*A159^3)</f>
        <v>491.50501009283221</v>
      </c>
      <c r="E159" s="44">
        <f>A156*(E158+2*F158/A159^2+2*H158*A159+6*I158*A159^2+12*J158*A159^3)</f>
        <v>83.235000000000014</v>
      </c>
      <c r="F159" s="45"/>
      <c r="G159" s="44">
        <f>10*A156*(A159*(E158-2*F158/A159^2+H158*A159+2*I158*A159^2+3*J158*A159^3)-G158)</f>
        <v>137.79216413613784</v>
      </c>
      <c r="H159" s="45"/>
      <c r="I159" s="45"/>
      <c r="J159" s="45"/>
      <c r="K159" s="45"/>
    </row>
    <row r="161" spans="1:12" ht="13.5" x14ac:dyDescent="0.25">
      <c r="A161" s="15">
        <v>8.3145000000000007</v>
      </c>
      <c r="B161" s="1" t="s">
        <v>146</v>
      </c>
      <c r="C161" s="24" t="s">
        <v>147</v>
      </c>
      <c r="D161" s="25" t="s">
        <v>32</v>
      </c>
      <c r="E161" s="25" t="s">
        <v>15</v>
      </c>
      <c r="F161" s="26" t="s">
        <v>16</v>
      </c>
      <c r="G161" s="5" t="s">
        <v>148</v>
      </c>
      <c r="H161" s="26" t="s">
        <v>17</v>
      </c>
      <c r="I161" s="26" t="s">
        <v>18</v>
      </c>
      <c r="J161" s="26" t="s">
        <v>19</v>
      </c>
    </row>
    <row r="162" spans="1:12" ht="13.5" x14ac:dyDescent="0.25">
      <c r="A162" s="29">
        <v>2.9814999999999998E-2</v>
      </c>
      <c r="B162" s="30">
        <v>-1656</v>
      </c>
      <c r="C162" s="31">
        <f>B162-B163</f>
        <v>-1656</v>
      </c>
      <c r="D162" s="32">
        <v>115.5</v>
      </c>
      <c r="E162" s="32">
        <v>98.95</v>
      </c>
      <c r="F162" s="32">
        <v>-6.6</v>
      </c>
      <c r="G162" s="33">
        <f>10*A161*(A162*(E163-2*F163/A162^2+H163*A162+2*I163*A162^2+3*J163*A162^3)-G163)</f>
        <v>0</v>
      </c>
      <c r="H162" s="32">
        <v>11.48</v>
      </c>
      <c r="I162" s="32">
        <v>0</v>
      </c>
      <c r="J162" s="32">
        <v>0</v>
      </c>
      <c r="K162" s="28"/>
      <c r="L162" s="28"/>
    </row>
    <row r="163" spans="1:12" ht="13.5" x14ac:dyDescent="0.25">
      <c r="A163" s="36" t="s">
        <v>96</v>
      </c>
      <c r="B163" s="30"/>
      <c r="C163" s="37">
        <f>C162/(10*A161)</f>
        <v>-19.917012448132777</v>
      </c>
      <c r="D163" s="38">
        <f>D162/A161-E163*(1+LN(A162))+F163/A162^2-2*H163*A162-3*I163*A162^2-4*J163*A162^3</f>
        <v>42.937147410057612</v>
      </c>
      <c r="E163" s="37">
        <f>E162/A161</f>
        <v>11.900896025016536</v>
      </c>
      <c r="F163" s="38">
        <f>F162/2000/A161</f>
        <v>-3.9689698719105177E-4</v>
      </c>
      <c r="G163" s="38">
        <f>A162*(E163-2*F163/A162^2+H163*A162+2*I163*A162^2+3*J163*A162^3)+(C162-C162)/10/A161</f>
        <v>0.38758604356292192</v>
      </c>
      <c r="H163" s="38">
        <f>0.5*H162*10/A161</f>
        <v>6.903602140838295</v>
      </c>
      <c r="I163" s="38">
        <f>I162*100/(6*A161)</f>
        <v>0</v>
      </c>
      <c r="J163" s="38">
        <f>J162*1000/(12*A161)</f>
        <v>0</v>
      </c>
      <c r="K163" s="39" t="s">
        <v>94</v>
      </c>
      <c r="L163" s="28"/>
    </row>
    <row r="164" spans="1:12" ht="13.5" x14ac:dyDescent="0.25">
      <c r="A164" s="41">
        <f>B164/10000</f>
        <v>0.1326</v>
      </c>
      <c r="B164" s="78">
        <v>1326</v>
      </c>
      <c r="C164" s="43">
        <f>C162+G164</f>
        <v>-1546.427899795478</v>
      </c>
      <c r="D164" s="44">
        <f>A161*(D163+E163*(1+LN(A164))-F163/A164^2+2*H163*A164+3*I163*A164^2+4*J163*A164^3)</f>
        <v>271.44069497403558</v>
      </c>
      <c r="E164" s="44">
        <f>A161*(E163+2*F163/A164^2+2*H163*A164+6*I163*A164^2+12*J163*A164^3)</f>
        <v>113.79711231028577</v>
      </c>
      <c r="F164" s="45"/>
      <c r="G164" s="44">
        <f>10*A161*(A164*(E163-2*F163/A164^2+H163*A164+2*I163*A164^2+3*J163*A164^3)-G163)</f>
        <v>109.57210020452193</v>
      </c>
      <c r="H164" s="45"/>
      <c r="I164" s="45"/>
      <c r="J164" s="45"/>
      <c r="K164" s="45"/>
      <c r="L164" s="45"/>
    </row>
    <row r="165" spans="1:12" ht="13.5" x14ac:dyDescent="0.25">
      <c r="A165" s="49">
        <f>B165/10000</f>
        <v>0.1326</v>
      </c>
      <c r="B165" s="78">
        <v>1326</v>
      </c>
      <c r="C165" s="1">
        <v>-1516.2</v>
      </c>
      <c r="D165" s="50">
        <f>D164+L165</f>
        <v>294.23699949551212</v>
      </c>
      <c r="E165" s="32">
        <v>97.84</v>
      </c>
      <c r="F165" s="32">
        <v>0</v>
      </c>
      <c r="G165" s="33">
        <f>10*A161*(E166*A165-2*F166/A165-G166+H166*A165^2+2*I166*A165^3+3*J166*A165^4)</f>
        <v>139.79999999999995</v>
      </c>
      <c r="H165" s="32">
        <v>0</v>
      </c>
      <c r="I165" s="32">
        <v>0</v>
      </c>
      <c r="J165" s="32">
        <v>0</v>
      </c>
      <c r="K165" s="51">
        <f>C165-C164</f>
        <v>30.227899795477924</v>
      </c>
      <c r="L165" s="51">
        <f>K165*1000/B165</f>
        <v>22.796304521476564</v>
      </c>
    </row>
    <row r="166" spans="1:12" ht="13.5" x14ac:dyDescent="0.25">
      <c r="A166" s="36" t="s">
        <v>97</v>
      </c>
      <c r="B166" s="53"/>
      <c r="C166" s="37">
        <f>(C162)/(10*A161)</f>
        <v>-19.917012448132777</v>
      </c>
      <c r="D166" s="38">
        <f>D165/A161-E166*(1+LN(A165))+F166/A165^2-2*H166*A165-3*I166*A165^2-4*J166*A165^3</f>
        <v>47.396081099752479</v>
      </c>
      <c r="E166" s="37">
        <f>E165/A161</f>
        <v>11.767394311143184</v>
      </c>
      <c r="F166" s="38">
        <f>F165/2000/A161</f>
        <v>0</v>
      </c>
      <c r="G166" s="37">
        <f>A165*(E166-2*F166/A165^2+H166*A165+2*I166*A165^2+3*J166*A165^3)+(C162-C165)/10/A161</f>
        <v>-0.12104347826086892</v>
      </c>
      <c r="H166" s="38">
        <f>0.5*H165*10/A161</f>
        <v>0</v>
      </c>
      <c r="I166" s="38">
        <f>I165*100/(6*A161)</f>
        <v>0</v>
      </c>
      <c r="J166" s="38">
        <f>J165*1000/(12*A161)</f>
        <v>0</v>
      </c>
      <c r="K166" s="54" t="s">
        <v>94</v>
      </c>
      <c r="L166" s="28"/>
    </row>
    <row r="167" spans="1:12" ht="13.5" x14ac:dyDescent="0.25">
      <c r="A167" s="41">
        <f>B167/10000</f>
        <v>0.1431</v>
      </c>
      <c r="B167" s="55">
        <v>1431</v>
      </c>
      <c r="C167" s="45">
        <f>C162+G167</f>
        <v>-1505.9268</v>
      </c>
      <c r="D167" s="44">
        <f>A161*(D166+E166*(1+LN(A167))-F166/A167^2+2*H166*A167+3*I166*A167^2+4*J166*A167^3)</f>
        <v>301.69305410154544</v>
      </c>
      <c r="E167" s="55">
        <f>A161*(E166+2*F166/A167^2+2*H166*A167+6*I166*A167^2+12*J166*A167^3)</f>
        <v>97.84</v>
      </c>
      <c r="F167" s="45"/>
      <c r="G167" s="44">
        <f>10*A161*(E166*A167-2*F166/A167-G166+H166*A167^2+2*I166*A167^3+3*J166*A167^4)</f>
        <v>150.07319999999996</v>
      </c>
      <c r="H167" s="45"/>
      <c r="I167" s="45"/>
      <c r="J167" s="45"/>
      <c r="K167" s="45"/>
      <c r="L167" s="45"/>
    </row>
    <row r="168" spans="1:12" ht="13.5" x14ac:dyDescent="0.25">
      <c r="A168" s="2">
        <f>B168/10000</f>
        <v>0.1431</v>
      </c>
      <c r="B168" s="51">
        <v>1431</v>
      </c>
      <c r="C168" s="1">
        <v>-1477</v>
      </c>
      <c r="D168" s="50">
        <f>D167+L168</f>
        <v>321.90744962914846</v>
      </c>
      <c r="E168" s="32">
        <v>140.34</v>
      </c>
      <c r="F168" s="32">
        <v>0</v>
      </c>
      <c r="G168" s="33">
        <f>10*A161*(E169*A168-2*F169/A168-G169+H169*A168^2+2*I169*A168^3+3*J169*A168^4)</f>
        <v>179</v>
      </c>
      <c r="H168" s="32">
        <v>0</v>
      </c>
      <c r="I168" s="32">
        <v>0</v>
      </c>
      <c r="J168" s="32">
        <v>0</v>
      </c>
      <c r="K168" s="51">
        <f>C168-C167</f>
        <v>28.926799999999957</v>
      </c>
      <c r="L168" s="51">
        <f>K168*1000/B168</f>
        <v>20.214395527603045</v>
      </c>
    </row>
    <row r="169" spans="1:12" ht="13.5" x14ac:dyDescent="0.25">
      <c r="A169" s="36" t="s">
        <v>98</v>
      </c>
      <c r="B169" s="53"/>
      <c r="C169" s="56">
        <f>(C162)/(10*A161)</f>
        <v>-19.917012448132777</v>
      </c>
      <c r="D169" s="38">
        <f>D168/A161-E169*(1+LN(A168))+F169/A168^2-2*H169*A168-3*I169*A168^2-4*J169*A168^3</f>
        <v>54.653689880249395</v>
      </c>
      <c r="E169" s="37">
        <f>E168/A161</f>
        <v>16.878946418906729</v>
      </c>
      <c r="F169" s="38">
        <f>F168/2000/A161</f>
        <v>0</v>
      </c>
      <c r="G169" s="37">
        <f>A168*(E169-2*F169/A168^2+H169*A168+2*I169*A168^2+3*J169*A168^3)+(C162-C168)/10/A161</f>
        <v>0.26251175656984804</v>
      </c>
      <c r="H169" s="38">
        <f>0.5*H168*10/A161</f>
        <v>0</v>
      </c>
      <c r="I169" s="38">
        <f>I168*100/(6*A161)</f>
        <v>0</v>
      </c>
      <c r="J169" s="38">
        <f>J168*1000/(12*A161)</f>
        <v>0</v>
      </c>
      <c r="K169" s="57" t="s">
        <v>94</v>
      </c>
      <c r="L169" s="28"/>
    </row>
    <row r="170" spans="1:12" ht="13.5" x14ac:dyDescent="0.25">
      <c r="A170" s="46">
        <f>B170/10000</f>
        <v>0.2</v>
      </c>
      <c r="B170" s="45">
        <v>2000</v>
      </c>
      <c r="C170" s="45">
        <f>C162+G170</f>
        <v>-1397.14654</v>
      </c>
      <c r="D170" s="44">
        <f>A161*(D169+E169*(1+LN(A170))-F169/A170^2+2*H169*A170+3*I169*A170^2+4*J169*A170^3)</f>
        <v>368.88958787833201</v>
      </c>
      <c r="E170" s="55">
        <f>A161*(E169+2*F169/A170^2+2*H169*A170+6*I169*A170^2+12*J169*A170^3)</f>
        <v>140.34</v>
      </c>
      <c r="F170" s="45"/>
      <c r="G170" s="44">
        <f>10*A161*(E169*A170-2*F169/A170-G169+H169*A170^2+2*I169*A170^3+3*J169*A170^4)</f>
        <v>258.85346000000004</v>
      </c>
      <c r="H170" s="45"/>
      <c r="I170" s="45"/>
      <c r="J170" s="45"/>
      <c r="K170" s="45"/>
      <c r="L170" s="28"/>
    </row>
    <row r="171" spans="1:12" ht="13.5" x14ac:dyDescent="0.25">
      <c r="A171" s="15">
        <v>8.3145000000000007</v>
      </c>
      <c r="B171" s="1" t="s">
        <v>146</v>
      </c>
      <c r="C171" s="24" t="s">
        <v>147</v>
      </c>
      <c r="D171" s="25" t="s">
        <v>32</v>
      </c>
      <c r="E171" s="25" t="s">
        <v>15</v>
      </c>
      <c r="F171" s="26" t="s">
        <v>16</v>
      </c>
      <c r="G171" s="5" t="s">
        <v>148</v>
      </c>
      <c r="H171" s="26" t="s">
        <v>17</v>
      </c>
      <c r="I171" s="26" t="s">
        <v>18</v>
      </c>
      <c r="J171" s="26" t="s">
        <v>19</v>
      </c>
    </row>
    <row r="172" spans="1:12" ht="13.5" x14ac:dyDescent="0.25">
      <c r="A172" s="29">
        <v>2.9814999999999998E-2</v>
      </c>
      <c r="B172" s="30">
        <v>-1224.7</v>
      </c>
      <c r="C172" s="31">
        <f>B172-B173</f>
        <v>-1224.7</v>
      </c>
      <c r="D172" s="32">
        <v>339.4</v>
      </c>
      <c r="E172" s="32">
        <v>81.25</v>
      </c>
      <c r="F172" s="32">
        <v>-9.5</v>
      </c>
      <c r="G172" s="33">
        <f>10*A171*(A172*(E173-2*F173/A172^2+H173*A172+2*I173*A172^2+3*J173*A172^3)-G173)</f>
        <v>0</v>
      </c>
      <c r="H172" s="32">
        <v>1.1100000000000001</v>
      </c>
      <c r="I172" s="32">
        <v>0</v>
      </c>
      <c r="J172" s="32">
        <v>0</v>
      </c>
      <c r="K172" s="28"/>
    </row>
    <row r="173" spans="1:12" ht="13.5" x14ac:dyDescent="0.25">
      <c r="A173" s="36" t="s">
        <v>99</v>
      </c>
      <c r="B173" s="30"/>
      <c r="C173" s="37">
        <f>C172/(10*A171)</f>
        <v>-14.729689097360032</v>
      </c>
      <c r="D173" s="38">
        <f>D172/A171-E173*(1+LN(A172))+F173/A172^2-2*H173*A172-3*I173*A172^2-4*J173*A172^3</f>
        <v>64.692524880284239</v>
      </c>
      <c r="E173" s="37">
        <f>E172/A171</f>
        <v>9.7720849119008957</v>
      </c>
      <c r="F173" s="38">
        <f>F172/2000/A171</f>
        <v>-5.7129111792651385E-4</v>
      </c>
      <c r="G173" s="38">
        <f>A172*(E173-2*F173/A172^2+H173*A172+2*I173*A172^2+3*J173*A172^3)+(C172-C172)/10/A171</f>
        <v>0.3302704788313669</v>
      </c>
      <c r="H173" s="38">
        <f>0.5*H172*10/A171</f>
        <v>0.66750856936676894</v>
      </c>
      <c r="I173" s="38">
        <f>I172*100/(6*A171)</f>
        <v>0</v>
      </c>
      <c r="J173" s="38">
        <f>J172*1000/(12*A171)</f>
        <v>0</v>
      </c>
      <c r="K173" s="39" t="s">
        <v>94</v>
      </c>
    </row>
    <row r="174" spans="1:12" ht="13.5" x14ac:dyDescent="0.25">
      <c r="A174" s="41">
        <f>B174/10000</f>
        <v>0.2</v>
      </c>
      <c r="B174" s="78">
        <v>2000</v>
      </c>
      <c r="C174" s="43">
        <f>C172+G174</f>
        <v>-1086.9653389624341</v>
      </c>
      <c r="D174" s="44">
        <f>A171*(D173+E173*(1+LN(A174))-F173/A174^2+2*H173*A174+3*I173*A174^2+4*J173*A174^3)</f>
        <v>490.70791773185272</v>
      </c>
      <c r="E174" s="44">
        <f>A171*(E173+2*F173/A174^2+2*H173*A174+6*I173*A174^2+12*J173*A174^3)</f>
        <v>83.232500000000016</v>
      </c>
      <c r="F174" s="45"/>
      <c r="G174" s="44">
        <f>10*A171*(A174*(E173-2*F173/A174^2+H173*A174+2*I173*A174^2+3*J173*A174^3)-G173)</f>
        <v>137.73466103756604</v>
      </c>
      <c r="H174" s="45"/>
      <c r="I174" s="45"/>
      <c r="J174" s="45"/>
      <c r="K174" s="45"/>
    </row>
    <row r="176" spans="1:12" ht="13.5" x14ac:dyDescent="0.25">
      <c r="A176" s="15">
        <v>8.3145000000000007</v>
      </c>
      <c r="B176" s="1" t="s">
        <v>146</v>
      </c>
      <c r="C176" s="24" t="s">
        <v>147</v>
      </c>
      <c r="D176" s="25" t="s">
        <v>32</v>
      </c>
      <c r="E176" s="25" t="s">
        <v>15</v>
      </c>
      <c r="F176" s="26" t="s">
        <v>16</v>
      </c>
      <c r="G176" s="5" t="s">
        <v>148</v>
      </c>
      <c r="H176" s="26" t="s">
        <v>17</v>
      </c>
      <c r="I176" s="26" t="s">
        <v>18</v>
      </c>
      <c r="J176" s="26" t="s">
        <v>19</v>
      </c>
    </row>
    <row r="177" spans="1:12" ht="13.5" x14ac:dyDescent="0.25">
      <c r="A177" s="29">
        <v>2.9814999999999998E-2</v>
      </c>
      <c r="B177" s="30">
        <v>-1569.8</v>
      </c>
      <c r="C177" s="31">
        <f>B177-B178</f>
        <v>-1569.8</v>
      </c>
      <c r="D177" s="32">
        <v>117.2</v>
      </c>
      <c r="E177" s="32">
        <v>95.2</v>
      </c>
      <c r="F177" s="32">
        <v>-4.9000000000000004</v>
      </c>
      <c r="G177" s="33">
        <f>10*A176*(A177*(E178-2*F178/A177^2+H178*A177+2*I178*A177^2+3*J178*A177^3)-G178)</f>
        <v>0</v>
      </c>
      <c r="H177" s="32">
        <v>16.38</v>
      </c>
      <c r="I177" s="32">
        <v>0</v>
      </c>
      <c r="J177" s="32">
        <v>0</v>
      </c>
      <c r="K177" s="28"/>
      <c r="L177" s="28"/>
    </row>
    <row r="178" spans="1:12" ht="13.5" x14ac:dyDescent="0.25">
      <c r="A178" s="36" t="s">
        <v>100</v>
      </c>
      <c r="B178" s="30"/>
      <c r="C178" s="37">
        <f>C177/(10*A176)</f>
        <v>-18.880269408864031</v>
      </c>
      <c r="D178" s="38">
        <f>D177/A176-E178*(1+LN(A177))+F178/A177^2-2*H178*A177-3*I178*A177^2-4*J178*A177^3</f>
        <v>41.947608354097852</v>
      </c>
      <c r="E178" s="37">
        <f>E177/A176</f>
        <v>11.449876721390341</v>
      </c>
      <c r="F178" s="38">
        <f>F177/2000/A176</f>
        <v>-2.9466594503578086E-4</v>
      </c>
      <c r="G178" s="38">
        <f>A177*(E178-2*F178/A177^2+H178*A177+2*I178*A177^2+3*J178*A177^3)+(C177-C177)/10/A176</f>
        <v>0.36990059754968369</v>
      </c>
      <c r="H178" s="38">
        <f>0.5*H177*10/A176</f>
        <v>9.8502615911961016</v>
      </c>
      <c r="I178" s="38">
        <f>I177*100/(6*A176)</f>
        <v>0</v>
      </c>
      <c r="J178" s="38">
        <f>J177*1000/(12*A176)</f>
        <v>0</v>
      </c>
      <c r="K178" s="39" t="s">
        <v>94</v>
      </c>
      <c r="L178" s="28"/>
    </row>
    <row r="179" spans="1:12" ht="13.5" x14ac:dyDescent="0.25">
      <c r="A179" s="41">
        <f>B179/10000</f>
        <v>0.12590000000000001</v>
      </c>
      <c r="B179" s="78">
        <v>1259</v>
      </c>
      <c r="C179" s="43">
        <f>C177+G179</f>
        <v>-1467.3275740172558</v>
      </c>
      <c r="D179" s="44">
        <f>A176*(D178+E178*(1+LN(A179))-F178/A179^2+2*H178*A179+3*I178*A179^2+4*J178*A179^3)</f>
        <v>267.47052532255958</v>
      </c>
      <c r="E179" s="44">
        <f>A176*(E178+2*F178/A179^2+2*H178*A179+6*I178*A179^2+12*J178*A179^3)</f>
        <v>115.51328753295256</v>
      </c>
      <c r="F179" s="45"/>
      <c r="G179" s="44">
        <f>10*A176*(A179*(E178-2*F178/A179^2+H178*A179+2*I178*A179^2+3*J178*A179^3)-G178)</f>
        <v>102.47242598274427</v>
      </c>
      <c r="H179" s="45"/>
      <c r="I179" s="45"/>
      <c r="J179" s="45"/>
      <c r="K179" s="45"/>
      <c r="L179" s="45"/>
    </row>
    <row r="180" spans="1:12" ht="13.5" x14ac:dyDescent="0.25">
      <c r="A180" s="49">
        <f>B180/10000</f>
        <v>0.12590000000000001</v>
      </c>
      <c r="B180" s="78">
        <v>1259</v>
      </c>
      <c r="C180" s="1">
        <v>-1442.7</v>
      </c>
      <c r="D180" s="50">
        <f>D179+L180</f>
        <v>287.03174376358874</v>
      </c>
      <c r="E180" s="32">
        <v>119.58</v>
      </c>
      <c r="F180" s="32">
        <v>0</v>
      </c>
      <c r="G180" s="33">
        <f>10*A176*(E181*A180-2*F181/A180-G181+H181*A180^2+2*I181*A180^3+3*J181*A180^4)</f>
        <v>127.09999999999991</v>
      </c>
      <c r="H180" s="32">
        <v>0</v>
      </c>
      <c r="I180" s="32">
        <v>0</v>
      </c>
      <c r="J180" s="32">
        <v>0</v>
      </c>
      <c r="K180" s="51">
        <f>C180-C179</f>
        <v>24.627574017255711</v>
      </c>
      <c r="L180" s="51">
        <f>K180*1000/B180</f>
        <v>19.561218441029158</v>
      </c>
    </row>
    <row r="181" spans="1:12" ht="13.5" x14ac:dyDescent="0.25">
      <c r="A181" s="36" t="s">
        <v>101</v>
      </c>
      <c r="B181" s="53"/>
      <c r="C181" s="37">
        <f>(C177)/(10*A176)</f>
        <v>-18.880269408864031</v>
      </c>
      <c r="D181" s="38">
        <f>D180/A176-E181*(1+LN(A180))+F181/A180^2-2*H181*A180-3*I181*A180^2-4*J181*A180^3</f>
        <v>49.943288475973013</v>
      </c>
      <c r="E181" s="37">
        <f>E180/A176</f>
        <v>14.382103554032112</v>
      </c>
      <c r="F181" s="38">
        <f>F180/2000/A176</f>
        <v>0</v>
      </c>
      <c r="G181" s="37">
        <f>A180*(E181-2*F181/A180^2+H181*A180+2*I181*A180^2+3*J181*A180^3)+(C177-C180)/10/A176</f>
        <v>0.28205207769559326</v>
      </c>
      <c r="H181" s="38">
        <f>0.5*H180*10/A176</f>
        <v>0</v>
      </c>
      <c r="I181" s="38">
        <f>I180*100/(6*A176)</f>
        <v>0</v>
      </c>
      <c r="J181" s="38">
        <f>J180*1000/(12*A176)</f>
        <v>0</v>
      </c>
      <c r="K181" s="54" t="s">
        <v>94</v>
      </c>
      <c r="L181" s="28"/>
    </row>
    <row r="182" spans="1:12" ht="13.5" x14ac:dyDescent="0.25">
      <c r="A182" s="41">
        <f>B182/10000</f>
        <v>0.14349999999999999</v>
      </c>
      <c r="B182" s="55">
        <v>1435</v>
      </c>
      <c r="C182" s="45">
        <f>C177+G182</f>
        <v>-1421.65392</v>
      </c>
      <c r="D182" s="44">
        <f>A176*(D181+E181*(1+LN(A182))-F181/A182^2+2*H181*A182+3*I181*A182^2+4*J181*A182^3)</f>
        <v>302.6784392819709</v>
      </c>
      <c r="E182" s="55">
        <f>A176*(E181+2*F181/A182^2+2*H181*A182+6*I181*A182^2+12*J181*A182^3)</f>
        <v>119.58</v>
      </c>
      <c r="F182" s="45"/>
      <c r="G182" s="44">
        <f>10*A176*(E181*A182-2*F181/A182-G181+H181*A182^2+2*I181*A182^3+3*J181*A182^4)</f>
        <v>148.1460799999999</v>
      </c>
      <c r="H182" s="45"/>
      <c r="I182" s="45"/>
      <c r="J182" s="45"/>
      <c r="K182" s="45"/>
      <c r="L182" s="45"/>
    </row>
    <row r="183" spans="1:12" ht="13.5" x14ac:dyDescent="0.25">
      <c r="A183" s="2">
        <f>B183/10000</f>
        <v>0.14349999999999999</v>
      </c>
      <c r="B183" s="51">
        <v>1435</v>
      </c>
      <c r="C183" s="1">
        <v>-1387.1</v>
      </c>
      <c r="D183" s="50">
        <f>D182+L183</f>
        <v>326.75782604155285</v>
      </c>
      <c r="E183" s="32">
        <v>121.67</v>
      </c>
      <c r="F183" s="32">
        <v>0</v>
      </c>
      <c r="G183" s="33">
        <f>10*A176*(E184*A183-2*F184/A183-G184+H184*A183^2+2*I184*A183^3+3*J184*A183^4)</f>
        <v>182.70000000000002</v>
      </c>
      <c r="H183" s="32">
        <v>0</v>
      </c>
      <c r="I183" s="32">
        <v>0</v>
      </c>
      <c r="J183" s="32">
        <v>0</v>
      </c>
      <c r="K183" s="51">
        <f>C183-C182</f>
        <v>34.553920000000062</v>
      </c>
      <c r="L183" s="51">
        <f>K183*1000/B183</f>
        <v>24.079386759581926</v>
      </c>
    </row>
    <row r="184" spans="1:12" ht="13.5" x14ac:dyDescent="0.25">
      <c r="A184" s="36" t="s">
        <v>102</v>
      </c>
      <c r="B184" s="53"/>
      <c r="C184" s="56">
        <f>(C177)/(10*A176)</f>
        <v>-18.880269408864031</v>
      </c>
      <c r="D184" s="38">
        <f>D183/A176-E184*(1+LN(A183))+F184/A183^2-2*H184*A183-3*I184*A183^2-4*J184*A183^3</f>
        <v>53.076003019131022</v>
      </c>
      <c r="E184" s="37">
        <f>E183/A176</f>
        <v>14.633471645919778</v>
      </c>
      <c r="F184" s="38">
        <f>F183/2000/A176</f>
        <v>0</v>
      </c>
      <c r="G184" s="37">
        <f>A183*(E184-2*F184/A183^2+H184*A183+2*I184*A183^2+3*J184*A183^3)+(C177-C183)/10/A176</f>
        <v>-9.7462866077334898E-2</v>
      </c>
      <c r="H184" s="38">
        <f>0.5*H183*10/A176</f>
        <v>0</v>
      </c>
      <c r="I184" s="38">
        <f>I183*100/(6*A176)</f>
        <v>0</v>
      </c>
      <c r="J184" s="38">
        <f>J183*1000/(12*A176)</f>
        <v>0</v>
      </c>
      <c r="K184" s="57" t="s">
        <v>94</v>
      </c>
      <c r="L184" s="28"/>
    </row>
    <row r="185" spans="1:12" ht="13.5" x14ac:dyDescent="0.25">
      <c r="A185" s="46">
        <f>B185/10000</f>
        <v>0.2</v>
      </c>
      <c r="B185" s="45">
        <v>2000</v>
      </c>
      <c r="C185" s="45">
        <f>C177+G185</f>
        <v>-1318.3564499999998</v>
      </c>
      <c r="D185" s="44">
        <f>A176*(D184+E184*(1+LN(A185))-F184/A185^2+2*H184*A185+3*I184*A185^2+4*J184*A185^3)</f>
        <v>367.15011629670789</v>
      </c>
      <c r="E185" s="55">
        <f>A176*(E184+2*F184/A185^2+2*H184*A185+6*I184*A185^2+12*J184*A185^3)</f>
        <v>121.67</v>
      </c>
      <c r="F185" s="45"/>
      <c r="G185" s="44">
        <f>10*A176*(E184*A185-2*F184/A185-G184+H184*A185^2+2*I184*A185^3+3*J184*A185^4)</f>
        <v>251.44355000000007</v>
      </c>
      <c r="H185" s="45"/>
      <c r="I185" s="45"/>
      <c r="J185" s="45"/>
      <c r="K185" s="45"/>
      <c r="L185" s="28"/>
    </row>
    <row r="186" spans="1:12" ht="13.5" x14ac:dyDescent="0.25">
      <c r="A186" s="15">
        <v>8.3145000000000007</v>
      </c>
      <c r="B186" s="1" t="s">
        <v>146</v>
      </c>
      <c r="C186" s="24" t="s">
        <v>147</v>
      </c>
      <c r="D186" s="25" t="s">
        <v>32</v>
      </c>
      <c r="E186" s="25" t="s">
        <v>15</v>
      </c>
      <c r="F186" s="26" t="s">
        <v>16</v>
      </c>
      <c r="G186" s="5" t="s">
        <v>148</v>
      </c>
      <c r="H186" s="26" t="s">
        <v>17</v>
      </c>
      <c r="I186" s="26" t="s">
        <v>18</v>
      </c>
      <c r="J186" s="26" t="s">
        <v>19</v>
      </c>
    </row>
    <row r="187" spans="1:12" ht="13.5" x14ac:dyDescent="0.25">
      <c r="A187" s="29">
        <v>2.9814999999999998E-2</v>
      </c>
      <c r="B187" s="30">
        <v>-1173.0999999999999</v>
      </c>
      <c r="C187" s="31">
        <f>B187-B188</f>
        <v>-1173.0999999999999</v>
      </c>
      <c r="D187" s="32">
        <v>326.8</v>
      </c>
      <c r="E187" s="32">
        <v>81.2</v>
      </c>
      <c r="F187" s="32">
        <v>-9.6</v>
      </c>
      <c r="G187" s="33">
        <f>10*A186*(A187*(E188-2*F188/A187^2+H188*A187+2*I188*A187^2+3*J188*A187^3)-G188)</f>
        <v>0</v>
      </c>
      <c r="H187" s="32">
        <v>1.1399999999999999</v>
      </c>
      <c r="I187" s="32">
        <v>0</v>
      </c>
      <c r="J187" s="32">
        <v>0</v>
      </c>
      <c r="K187" s="28"/>
    </row>
    <row r="188" spans="1:12" ht="13.5" x14ac:dyDescent="0.25">
      <c r="A188" s="36" t="s">
        <v>103</v>
      </c>
      <c r="B188" s="30"/>
      <c r="C188" s="37">
        <f>C187/(10*A186)</f>
        <v>-14.109086535570386</v>
      </c>
      <c r="D188" s="38">
        <f>D187/A186-E188*(1+LN(A187))+F188/A187^2-2*H188*A187-3*I188*A187^2-4*J188*A187^3</f>
        <v>63.154148692414751</v>
      </c>
      <c r="E188" s="37">
        <f>E187/A186</f>
        <v>9.7660713211858798</v>
      </c>
      <c r="F188" s="38">
        <f>F187/2000/A186</f>
        <v>-5.7730470864152973E-4</v>
      </c>
      <c r="G188" s="38">
        <f>A187*(E188-2*F188/A187^2+H188*A187+2*I188*A187^2+3*J188*A187^3)+(C187-C187)/10/A186</f>
        <v>0.33051061432579598</v>
      </c>
      <c r="H188" s="38">
        <f>0.5*H187*10/A186</f>
        <v>0.68554934151181657</v>
      </c>
      <c r="I188" s="38">
        <f>I187*100/(6*A186)</f>
        <v>0</v>
      </c>
      <c r="J188" s="38">
        <f>J187*1000/(12*A186)</f>
        <v>0</v>
      </c>
      <c r="K188" s="39" t="s">
        <v>94</v>
      </c>
    </row>
    <row r="189" spans="1:12" ht="13.5" x14ac:dyDescent="0.25">
      <c r="A189" s="41">
        <f>B189/10000</f>
        <v>0.2</v>
      </c>
      <c r="B189" s="78">
        <v>2000</v>
      </c>
      <c r="C189" s="43">
        <f>C187+G189</f>
        <v>-1035.4203050281183</v>
      </c>
      <c r="D189" s="44">
        <f>A186*(D188+E188*(1+LN(A189))-F188/A189^2+2*H188*A189+3*I188*A189^2+4*J188*A189^3)</f>
        <v>478.00881081343357</v>
      </c>
      <c r="E189" s="44">
        <f>A186*(E188+2*F188/A189^2+2*H188*A189+6*I188*A189^2+12*J188*A189^3)</f>
        <v>83.24</v>
      </c>
      <c r="F189" s="45"/>
      <c r="G189" s="44">
        <f>10*A186*(A189*(E188-2*F188/A189^2+H188*A189+2*I188*A189^2+3*J188*A189^3)-G188)</f>
        <v>137.67969497188173</v>
      </c>
      <c r="H189" s="45"/>
      <c r="I189" s="45"/>
      <c r="J189" s="45"/>
      <c r="K189" s="45"/>
    </row>
    <row r="191" spans="1:12" ht="13.5" x14ac:dyDescent="0.25">
      <c r="A191" s="15">
        <v>8.3145000000000007</v>
      </c>
      <c r="B191" s="1" t="s">
        <v>146</v>
      </c>
      <c r="C191" s="24" t="s">
        <v>147</v>
      </c>
      <c r="D191" s="25" t="s">
        <v>32</v>
      </c>
      <c r="E191" s="25" t="s">
        <v>15</v>
      </c>
      <c r="F191" s="26" t="s">
        <v>16</v>
      </c>
      <c r="G191" s="5" t="s">
        <v>148</v>
      </c>
      <c r="H191" s="26" t="s">
        <v>17</v>
      </c>
      <c r="I191" s="26" t="s">
        <v>18</v>
      </c>
      <c r="J191" s="26" t="s">
        <v>19</v>
      </c>
    </row>
    <row r="192" spans="1:12" ht="13.5" x14ac:dyDescent="0.25">
      <c r="A192" s="29">
        <v>2.9814999999999998E-2</v>
      </c>
      <c r="B192" s="30">
        <v>-1679.5</v>
      </c>
      <c r="C192" s="31">
        <f>B192-B193</f>
        <v>-1679.5</v>
      </c>
      <c r="D192" s="32">
        <v>120.9</v>
      </c>
      <c r="E192" s="32">
        <v>92.7</v>
      </c>
      <c r="F192" s="32">
        <v>-6.4</v>
      </c>
      <c r="G192" s="33">
        <f>10*A191*(A192*(E193-2*F193/A192^2+H193*A192+2*I193*A192^2+3*J193*A192^3)-G193)</f>
        <v>0</v>
      </c>
      <c r="H192" s="32">
        <v>23.43</v>
      </c>
      <c r="I192" s="32">
        <v>0</v>
      </c>
      <c r="J192" s="32">
        <v>0</v>
      </c>
      <c r="K192" s="28"/>
      <c r="L192" s="28"/>
    </row>
    <row r="193" spans="1:12" ht="13.5" x14ac:dyDescent="0.25">
      <c r="A193" s="36" t="s">
        <v>104</v>
      </c>
      <c r="B193" s="30"/>
      <c r="C193" s="37">
        <f>C192/(10*A191)</f>
        <v>-20.199651211738527</v>
      </c>
      <c r="D193" s="38">
        <f>D192/A191-E193*(1+LN(A192))+F193/A192^2-2*H193*A192-3*I193*A192^2-4*J193*A192^3</f>
        <v>41.282803061016409</v>
      </c>
      <c r="E193" s="37">
        <f>E192/A191</f>
        <v>11.149197185639546</v>
      </c>
      <c r="F193" s="38">
        <f>F192/2000/A191</f>
        <v>-3.848698057610199E-4</v>
      </c>
      <c r="G193" s="38">
        <f>A192*(E193-2*F193/A192^2+H193*A192+2*I193*A192^2+3*J193*A192^3)+(C192-C192)/10/A191</f>
        <v>0.370755450872368</v>
      </c>
      <c r="H193" s="38">
        <f>0.5*H192*10/A191</f>
        <v>14.089843045282338</v>
      </c>
      <c r="I193" s="38">
        <f>I192*100/(6*A191)</f>
        <v>0</v>
      </c>
      <c r="J193" s="38">
        <f>J192*1000/(12*A191)</f>
        <v>0</v>
      </c>
      <c r="K193" s="39" t="s">
        <v>94</v>
      </c>
      <c r="L193" s="28"/>
    </row>
    <row r="194" spans="1:12" ht="13.5" x14ac:dyDescent="0.25">
      <c r="A194" s="41">
        <f>B194/10000</f>
        <v>0.16500000000000001</v>
      </c>
      <c r="B194" s="42">
        <v>1650</v>
      </c>
      <c r="C194" s="43">
        <f>C192+G194</f>
        <v>-1525.0894956749041</v>
      </c>
      <c r="D194" s="44">
        <f>A191*(D193+E193*(1+LN(A194))-F193/A194^2+2*H193*A194+3*I193*A194^2+4*J193*A194^3)</f>
        <v>307.69513614639061</v>
      </c>
      <c r="E194" s="44">
        <f>A191*(E193+2*F193/A194^2+2*H193*A194+6*I193*A194^2+12*J193*A194^3)</f>
        <v>131.12442194674014</v>
      </c>
      <c r="F194" s="45"/>
      <c r="G194" s="44">
        <f>10*A191*(A194*(E193-2*F193/A194^2+H193*A194+2*I193*A194^2+3*J193*A194^3)-G193)</f>
        <v>154.41050432509579</v>
      </c>
      <c r="H194" s="45"/>
      <c r="I194" s="45"/>
      <c r="J194" s="45"/>
      <c r="K194" s="45"/>
      <c r="L194" s="45"/>
    </row>
    <row r="195" spans="1:12" ht="13.5" x14ac:dyDescent="0.25">
      <c r="A195" s="49">
        <f>B195/10000</f>
        <v>0.16500000000000001</v>
      </c>
      <c r="B195" s="42">
        <v>1650</v>
      </c>
      <c r="C195" s="1">
        <v>-1470.3</v>
      </c>
      <c r="D195" s="50">
        <f>D194+L195</f>
        <v>340.90089110087797</v>
      </c>
      <c r="E195" s="32">
        <v>172.8</v>
      </c>
      <c r="F195" s="32">
        <v>0</v>
      </c>
      <c r="G195" s="33">
        <f>10*A191*(E196*A195-2*F196/A195-G196+H196*A195^2+2*I196*A195^3+3*J196*A195^4)</f>
        <v>209.20000000000007</v>
      </c>
      <c r="H195" s="32">
        <v>0</v>
      </c>
      <c r="I195" s="32">
        <v>0</v>
      </c>
      <c r="J195" s="32">
        <v>0</v>
      </c>
      <c r="K195" s="51">
        <f>C195-C194</f>
        <v>54.789495674904174</v>
      </c>
      <c r="L195" s="51">
        <f>K195*1000/B195</f>
        <v>33.205754954487375</v>
      </c>
    </row>
    <row r="196" spans="1:12" ht="13.5" x14ac:dyDescent="0.25">
      <c r="A196" s="36" t="s">
        <v>105</v>
      </c>
      <c r="B196" s="53"/>
      <c r="C196" s="37">
        <f>(C192)/(10*A191)</f>
        <v>-20.199651211738527</v>
      </c>
      <c r="D196" s="38">
        <f>D195/A191-E196*(1+LN(A195))+F196/A195^2-2*H196*A195-3*I196*A195^2-4*J196*A195^3</f>
        <v>57.664757402005037</v>
      </c>
      <c r="E196" s="37">
        <f>E195/A191</f>
        <v>20.782969511095075</v>
      </c>
      <c r="F196" s="38">
        <f>F195/2000/A191</f>
        <v>0</v>
      </c>
      <c r="G196" s="37">
        <f>A195*(E196-2*F196/A195^2+H196*A195+2*I196*A195^2+3*J196*A195^3)+(C192-C195)/10/A191</f>
        <v>0.91310361416801955</v>
      </c>
      <c r="H196" s="38">
        <f>0.5*H195*10/A191</f>
        <v>0</v>
      </c>
      <c r="I196" s="38">
        <f>I195*100/(6*A191)</f>
        <v>0</v>
      </c>
      <c r="J196" s="38">
        <f>J195*1000/(12*A191)</f>
        <v>0</v>
      </c>
      <c r="K196" s="54" t="s">
        <v>94</v>
      </c>
      <c r="L196" s="28"/>
    </row>
    <row r="197" spans="1:12" ht="13.5" x14ac:dyDescent="0.25">
      <c r="A197" s="41">
        <f>B197/10000</f>
        <v>0.2</v>
      </c>
      <c r="B197" s="55">
        <v>2000</v>
      </c>
      <c r="C197" s="45">
        <f>C192+G197</f>
        <v>-1409.82</v>
      </c>
      <c r="D197" s="44">
        <f>A191*(D196+E196*(1+LN(A197))-F196/A197^2+2*H196*A197+3*I196*A197^2+4*J196*A197^3)</f>
        <v>374.14275415035843</v>
      </c>
      <c r="E197" s="55">
        <f>A191*(E196+2*F196/A197^2+2*H196*A197+6*I196*A197^2+12*J196*A197^3)</f>
        <v>172.8</v>
      </c>
      <c r="F197" s="45"/>
      <c r="G197" s="44">
        <f>10*A191*(E196*A197-2*F196/A197-G196+H196*A197^2+2*I196*A197^3+3*J196*A197^4)</f>
        <v>269.68000000000006</v>
      </c>
      <c r="H197" s="45"/>
      <c r="I197" s="45"/>
      <c r="J197" s="45"/>
      <c r="K197" s="45"/>
      <c r="L197" s="45"/>
    </row>
    <row r="198" spans="1:12" ht="13.5" x14ac:dyDescent="0.25">
      <c r="A198" s="15">
        <v>8.3145000000000007</v>
      </c>
      <c r="B198" s="1" t="s">
        <v>146</v>
      </c>
      <c r="C198" s="24" t="s">
        <v>147</v>
      </c>
      <c r="D198" s="25" t="s">
        <v>32</v>
      </c>
      <c r="E198" s="25" t="s">
        <v>15</v>
      </c>
      <c r="F198" s="26" t="s">
        <v>16</v>
      </c>
      <c r="G198" s="5" t="s">
        <v>148</v>
      </c>
      <c r="H198" s="26" t="s">
        <v>17</v>
      </c>
      <c r="I198" s="26" t="s">
        <v>18</v>
      </c>
      <c r="J198" s="26" t="s">
        <v>19</v>
      </c>
    </row>
    <row r="199" spans="1:12" ht="13.5" x14ac:dyDescent="0.25">
      <c r="A199" s="29">
        <v>2.9814999999999998E-2</v>
      </c>
      <c r="B199" s="30">
        <v>-1238.9000000000001</v>
      </c>
      <c r="C199" s="31">
        <f>B199-B200</f>
        <v>-1238.9000000000001</v>
      </c>
      <c r="D199" s="32">
        <v>340.8</v>
      </c>
      <c r="E199" s="32">
        <v>82.21</v>
      </c>
      <c r="F199" s="32">
        <v>-10.1</v>
      </c>
      <c r="G199" s="33">
        <f>10*A198*(A199*(E200-2*F200/A199^2+H200*A199+2*I200*A199^2+3*J200*A199^3)-G200)</f>
        <v>0</v>
      </c>
      <c r="H199" s="32">
        <v>4.66</v>
      </c>
      <c r="I199" s="32">
        <v>0</v>
      </c>
      <c r="J199" s="32">
        <v>0</v>
      </c>
      <c r="K199" s="28"/>
    </row>
    <row r="200" spans="1:12" ht="13.5" x14ac:dyDescent="0.25">
      <c r="A200" s="36" t="s">
        <v>106</v>
      </c>
      <c r="B200" s="30"/>
      <c r="C200" s="37">
        <f>C199/(10*A198)</f>
        <v>-14.900475073666486</v>
      </c>
      <c r="D200" s="38">
        <f>D199/A198-E200*(1+LN(A199))+F200/A199^2-2*H200*A199-3*I200*A199^2-4*J200*A199^3</f>
        <v>64.983139904979367</v>
      </c>
      <c r="E200" s="37">
        <f>E199/A198</f>
        <v>9.8875458536292005</v>
      </c>
      <c r="F200" s="38">
        <f>F199/2000/A198</f>
        <v>-6.0737266221660947E-4</v>
      </c>
      <c r="G200" s="38">
        <f>A199*(E200-2*F200/A199^2+H200*A199+2*I200*A199^2+3*J200*A199^3)+(C199-C199)/10/A198</f>
        <v>0.33803102740335955</v>
      </c>
      <c r="H200" s="38">
        <f>0.5*H199*10/A198</f>
        <v>2.802333273197426</v>
      </c>
      <c r="I200" s="38">
        <f>I199*100/(6*A198)</f>
        <v>0</v>
      </c>
      <c r="J200" s="38">
        <f>J199*1000/(12*A198)</f>
        <v>0</v>
      </c>
      <c r="K200" s="39" t="s">
        <v>94</v>
      </c>
    </row>
    <row r="201" spans="1:12" ht="13.5" x14ac:dyDescent="0.25">
      <c r="A201" s="41">
        <f>B201/10000</f>
        <v>0.2</v>
      </c>
      <c r="B201" s="42">
        <v>2000</v>
      </c>
      <c r="C201" s="43">
        <f>C199+G201</f>
        <v>-1092.7605897734525</v>
      </c>
      <c r="D201" s="44">
        <f>A198*(D200+E200*(1+LN(A201))-F200/A201^2+2*H200*A201+3*I200*A201^2+4*J200*A201^3)</f>
        <v>499.64667595874357</v>
      </c>
      <c r="E201" s="44">
        <f>A198*(E200+2*F200/A201^2+2*H200*A201+6*I200*A201^2+12*J200*A201^3)</f>
        <v>91.277500000000003</v>
      </c>
      <c r="F201" s="45"/>
      <c r="G201" s="44">
        <f>10*A198*(A201*(E200-2*F200/A201^2+H200*A201+2*I200*A201^2+3*J200*A201^3)-G200)</f>
        <v>146.13941022654768</v>
      </c>
      <c r="H201" s="45"/>
      <c r="I201" s="45"/>
      <c r="J201" s="45"/>
      <c r="K201" s="45"/>
    </row>
    <row r="203" spans="1:12" ht="13.5" x14ac:dyDescent="0.25">
      <c r="A203" s="15">
        <v>8.3145000000000007</v>
      </c>
      <c r="B203" s="1" t="s">
        <v>146</v>
      </c>
      <c r="C203" s="24" t="s">
        <v>147</v>
      </c>
      <c r="D203" s="25" t="s">
        <v>32</v>
      </c>
      <c r="E203" s="25" t="s">
        <v>15</v>
      </c>
      <c r="F203" s="26" t="s">
        <v>16</v>
      </c>
      <c r="G203" s="5" t="s">
        <v>148</v>
      </c>
      <c r="H203" s="26" t="s">
        <v>17</v>
      </c>
      <c r="I203" s="26" t="s">
        <v>18</v>
      </c>
      <c r="J203" s="26" t="s">
        <v>19</v>
      </c>
    </row>
    <row r="204" spans="1:12" ht="13.5" x14ac:dyDescent="0.25">
      <c r="A204" s="29">
        <v>2.9814999999999998E-2</v>
      </c>
      <c r="B204" s="30">
        <v>0</v>
      </c>
      <c r="C204" s="31">
        <f>B204-B205</f>
        <v>0</v>
      </c>
      <c r="D204" s="32">
        <v>71.099999999999994</v>
      </c>
      <c r="E204" s="32">
        <v>25.82</v>
      </c>
      <c r="F204" s="32">
        <v>-0.3</v>
      </c>
      <c r="G204" s="33">
        <f>10*A203*(A204*(E205-2*F205/A204^2+H205*A204+2*I205*A204^2+3*J205*A204^3)-G205)</f>
        <v>0</v>
      </c>
      <c r="H204" s="32">
        <v>2.19</v>
      </c>
      <c r="I204" s="32">
        <v>13.93</v>
      </c>
      <c r="J204" s="32">
        <v>0</v>
      </c>
      <c r="K204" s="28"/>
      <c r="L204" s="28"/>
    </row>
    <row r="205" spans="1:12" ht="13.5" x14ac:dyDescent="0.25">
      <c r="A205" s="36" t="s">
        <v>107</v>
      </c>
      <c r="B205" s="30"/>
      <c r="C205" s="37">
        <f>C204/(10*A203)</f>
        <v>0</v>
      </c>
      <c r="D205" s="38">
        <f>D204/A203-E205*(1+LN(A204))+F205/A204^2-2*H205*A204-3*I205*A204^2-4*J205*A204^3</f>
        <v>16.181154444290861</v>
      </c>
      <c r="E205" s="37">
        <f>E204/A203</f>
        <v>3.1054182452342292</v>
      </c>
      <c r="F205" s="38">
        <f>F204/2000/A203</f>
        <v>-1.8040772145047804E-5</v>
      </c>
      <c r="G205" s="38">
        <f>A204*(E205-2*F205/A204^2+H205*A204+2*I205*A204^2+3*J205*A204^3)+(C204-C204)/10/A203</f>
        <v>9.644905549227939E-2</v>
      </c>
      <c r="H205" s="38">
        <f>0.5*H204*10/A203</f>
        <v>1.3169763665884897</v>
      </c>
      <c r="I205" s="38">
        <f>I204*100/(6*A203)</f>
        <v>27.923106220057328</v>
      </c>
      <c r="J205" s="38">
        <f>J204*1000/(12*A203)</f>
        <v>0</v>
      </c>
      <c r="K205" s="39" t="s">
        <v>94</v>
      </c>
      <c r="L205" s="28"/>
    </row>
    <row r="206" spans="1:12" ht="13.5" x14ac:dyDescent="0.25">
      <c r="A206" s="41">
        <f>B206/10000</f>
        <v>0.1128</v>
      </c>
      <c r="B206" s="42">
        <v>1128</v>
      </c>
      <c r="C206" s="43">
        <f>C204+G206</f>
        <v>29.189899734895281</v>
      </c>
      <c r="D206" s="44">
        <f>A203*(D205+E205*(1+LN(A206))-F205/A206^2+2*H205*A206+3*I205*A206^2+4*J205*A206^3)</f>
        <v>115.35964465228784</v>
      </c>
      <c r="E206" s="44">
        <f>A203*(E205+2*F205/A206^2+2*H205*A206+6*I205*A206^2+12*J205*A206^3)</f>
        <v>45.991051332162364</v>
      </c>
      <c r="F206" s="45"/>
      <c r="G206" s="44">
        <f>10*A203*(A206*(E205-2*F205/A206^2+H205*A206+2*I205*A206^2+3*J205*A206^3)-G205)</f>
        <v>29.189899734895281</v>
      </c>
      <c r="H206" s="45"/>
      <c r="I206" s="45"/>
      <c r="J206" s="45"/>
      <c r="K206" s="45"/>
      <c r="L206" s="45"/>
    </row>
    <row r="207" spans="1:12" ht="13.5" x14ac:dyDescent="0.25">
      <c r="A207" s="49">
        <f>B207/10000</f>
        <v>0.1128</v>
      </c>
      <c r="B207" s="42">
        <v>1128</v>
      </c>
      <c r="C207" s="1">
        <v>32.200000000000003</v>
      </c>
      <c r="D207" s="50">
        <f>D206+L207</f>
        <v>118.02817325610408</v>
      </c>
      <c r="E207" s="32">
        <v>44.56</v>
      </c>
      <c r="F207" s="32">
        <v>0</v>
      </c>
      <c r="G207" s="33">
        <f>10*A203*(E208*A207-2*F208/A207-G208+H208*A207^2+2*I208*A207^3+3*J208*A207^4)</f>
        <v>32.200000000000003</v>
      </c>
      <c r="H207" s="32">
        <v>0</v>
      </c>
      <c r="I207" s="32">
        <v>0</v>
      </c>
      <c r="J207" s="32">
        <v>0</v>
      </c>
      <c r="K207" s="51">
        <f>C207-C206</f>
        <v>3.0101002651047217</v>
      </c>
      <c r="L207" s="51">
        <f>K207*1000/B207</f>
        <v>2.6685286038162426</v>
      </c>
    </row>
    <row r="208" spans="1:12" ht="13.5" x14ac:dyDescent="0.25">
      <c r="A208" s="36" t="s">
        <v>108</v>
      </c>
      <c r="B208" s="53"/>
      <c r="C208" s="37">
        <f>(C204)/(10*A203)</f>
        <v>0</v>
      </c>
      <c r="D208" s="38">
        <f>D207/A203-E208*(1+LN(A207))+F208/A207^2-2*H208*A207-3*I208*A207^2-4*J208*A207^3</f>
        <v>20.530913995893695</v>
      </c>
      <c r="E208" s="37">
        <f>E207/A203</f>
        <v>5.3593120452222021</v>
      </c>
      <c r="F208" s="38">
        <f>F207/2000/A203</f>
        <v>0</v>
      </c>
      <c r="G208" s="37">
        <f>A207*(E208-2*F208/A207^2+H208*A207+2*I208*A207^2+3*J208*A207^3)+(C204-C207)/10/A203</f>
        <v>0.21725515665403811</v>
      </c>
      <c r="H208" s="38">
        <f>0.5*H207*10/A203</f>
        <v>0</v>
      </c>
      <c r="I208" s="38">
        <f>I207*100/(6*A203)</f>
        <v>0</v>
      </c>
      <c r="J208" s="38">
        <f>J207*1000/(12*A203)</f>
        <v>0</v>
      </c>
      <c r="K208" s="54" t="s">
        <v>94</v>
      </c>
      <c r="L208" s="28"/>
    </row>
    <row r="209" spans="1:12" ht="13.5" x14ac:dyDescent="0.25">
      <c r="A209" s="41">
        <f>B209/10000</f>
        <v>0.12889999999999999</v>
      </c>
      <c r="B209" s="55">
        <v>1289</v>
      </c>
      <c r="C209" s="45">
        <f>C204+G209</f>
        <v>39.374160000000003</v>
      </c>
      <c r="D209" s="44">
        <f>A203*(D208+E208*(1+LN(A209))-F208/A209^2+2*H208*A209+3*I208*A209^2+4*J208*A209^3)</f>
        <v>123.97339389456961</v>
      </c>
      <c r="E209" s="55">
        <f>A203*(E208+2*F208/A209^2+2*H208*A209+6*I208*A209^2+12*J208*A209^3)</f>
        <v>44.56</v>
      </c>
      <c r="F209" s="45"/>
      <c r="G209" s="44">
        <f>10*A203*(E208*A209-2*F208/A209-G208+H208*A209^2+2*I208*A209^3+3*J208*A209^4)</f>
        <v>39.374160000000003</v>
      </c>
      <c r="H209" s="45"/>
      <c r="I209" s="45"/>
      <c r="J209" s="45"/>
      <c r="K209" s="45"/>
      <c r="L209" s="45"/>
    </row>
    <row r="210" spans="1:12" ht="13.5" x14ac:dyDescent="0.25">
      <c r="A210" s="2">
        <f>B210/10000</f>
        <v>0.12889999999999999</v>
      </c>
      <c r="B210" s="51">
        <v>1289</v>
      </c>
      <c r="C210" s="1">
        <v>46.5</v>
      </c>
      <c r="D210" s="50">
        <f>D209+L210</f>
        <v>129.50158629177673</v>
      </c>
      <c r="E210" s="32">
        <v>48.78</v>
      </c>
      <c r="F210" s="32">
        <v>0</v>
      </c>
      <c r="G210" s="33">
        <f>10*A203*(E211*A210-2*F211/A210-G211+H211*A210^2+2*I211*A210^3+3*J211*A210^4)</f>
        <v>46.500000000000007</v>
      </c>
      <c r="H210" s="32">
        <v>0</v>
      </c>
      <c r="I210" s="32">
        <v>0</v>
      </c>
      <c r="J210" s="32">
        <v>0</v>
      </c>
      <c r="K210" s="51">
        <f>C210-C209</f>
        <v>7.1258399999999966</v>
      </c>
      <c r="L210" s="51">
        <f>K210*1000/B210</f>
        <v>5.5281923972071345</v>
      </c>
    </row>
    <row r="211" spans="1:12" ht="13.5" x14ac:dyDescent="0.25">
      <c r="A211" s="36" t="s">
        <v>109</v>
      </c>
      <c r="B211" s="53"/>
      <c r="C211" s="56">
        <f>(C204)/(10*A203)</f>
        <v>0</v>
      </c>
      <c r="D211" s="38">
        <f>D210/A203-E211*(1+LN(A210))+F211/A210^2-2*H211*A210-3*I211*A210^2-4*J211*A210^3</f>
        <v>21.72807364644914</v>
      </c>
      <c r="E211" s="37">
        <f>E210/A203</f>
        <v>5.8668591015695473</v>
      </c>
      <c r="F211" s="38">
        <f>F210/2000/A203</f>
        <v>0</v>
      </c>
      <c r="G211" s="37">
        <f>A210*(E211-2*F211/A210^2+H211*A210+2*I211*A210^2+3*J211*A210^3)+(C204-C210)/10/A203</f>
        <v>0.19697420169583246</v>
      </c>
      <c r="H211" s="38">
        <f>0.5*H210*10/A203</f>
        <v>0</v>
      </c>
      <c r="I211" s="38">
        <f>I210*100/(6*A203)</f>
        <v>0</v>
      </c>
      <c r="J211" s="38">
        <f>J210*1000/(12*A203)</f>
        <v>0</v>
      </c>
      <c r="K211" s="57" t="s">
        <v>94</v>
      </c>
      <c r="L211" s="28"/>
    </row>
    <row r="212" spans="1:12" ht="13.5" x14ac:dyDescent="0.25">
      <c r="A212" s="46">
        <f>B212/10000</f>
        <v>0.2</v>
      </c>
      <c r="B212" s="45">
        <v>2000</v>
      </c>
      <c r="C212" s="45">
        <f>C204+G212</f>
        <v>81.182580000000016</v>
      </c>
      <c r="D212" s="44">
        <f>A203*(D211+E211*(1+LN(A212))-F211/A212^2+2*H211*A212+3*I211*A212^2+4*J211*A212^3)</f>
        <v>150.92968696486597</v>
      </c>
      <c r="E212" s="55">
        <f>A203*(E211+2*F211/A212^2+2*H211*A212+6*I211*A212^2+12*J211*A212^3)</f>
        <v>48.78</v>
      </c>
      <c r="F212" s="45"/>
      <c r="G212" s="44">
        <f>10*A203*(E211*A212-2*F211/A212-G211+H211*A212^2+2*I211*A212^3+3*J211*A212^4)</f>
        <v>81.182580000000016</v>
      </c>
      <c r="H212" s="45"/>
      <c r="I212" s="45"/>
      <c r="J212" s="45"/>
      <c r="K212" s="45"/>
      <c r="L212" s="28"/>
    </row>
    <row r="213" spans="1:12" ht="13.5" x14ac:dyDescent="0.25">
      <c r="A213" s="15">
        <v>8.3145000000000007</v>
      </c>
      <c r="B213" s="1" t="s">
        <v>146</v>
      </c>
      <c r="C213" s="24" t="s">
        <v>147</v>
      </c>
      <c r="D213" s="25" t="s">
        <v>32</v>
      </c>
      <c r="E213" s="25" t="s">
        <v>15</v>
      </c>
      <c r="F213" s="26" t="s">
        <v>16</v>
      </c>
      <c r="G213" s="5" t="s">
        <v>148</v>
      </c>
      <c r="H213" s="26" t="s">
        <v>17</v>
      </c>
      <c r="I213" s="26" t="s">
        <v>18</v>
      </c>
      <c r="J213" s="26" t="s">
        <v>19</v>
      </c>
    </row>
    <row r="214" spans="1:12" ht="13.5" x14ac:dyDescent="0.25">
      <c r="A214" s="29">
        <v>2.9814999999999998E-2</v>
      </c>
      <c r="B214" s="30">
        <v>328.3</v>
      </c>
      <c r="C214" s="31">
        <f>B214-B215</f>
        <v>328.3</v>
      </c>
      <c r="D214" s="32">
        <v>189.4</v>
      </c>
      <c r="E214" s="32">
        <v>26.3</v>
      </c>
      <c r="F214" s="32">
        <v>-4.8</v>
      </c>
      <c r="G214" s="33">
        <f>10*A213*(A214*(E215-2*F215/A214^2+H215*A214+2*I215*A214^2+3*J215*A214^3)-G215)</f>
        <v>0</v>
      </c>
      <c r="H214" s="32">
        <v>2.75</v>
      </c>
      <c r="I214" s="32">
        <v>0</v>
      </c>
      <c r="J214" s="32">
        <v>0</v>
      </c>
      <c r="K214" s="28"/>
    </row>
    <row r="215" spans="1:12" ht="13.5" x14ac:dyDescent="0.25">
      <c r="A215" s="36" t="s">
        <v>110</v>
      </c>
      <c r="B215" s="30"/>
      <c r="C215" s="37">
        <f>C214/(10*A213)</f>
        <v>3.9485236634794632</v>
      </c>
      <c r="D215" s="38">
        <f>D214/A213-E215*(1+LN(A214))+F215/A214^2-2*H215*A214-3*I215*A214^2-4*J215*A214^3</f>
        <v>30.304333798174291</v>
      </c>
      <c r="E215" s="37">
        <f>E214/A213</f>
        <v>3.163148716098382</v>
      </c>
      <c r="F215" s="38">
        <f>F214/2000/A213</f>
        <v>-2.8865235432076487E-4</v>
      </c>
      <c r="G215" s="38">
        <f>A214*(E215-2*F215/A214^2+H215*A214+2*I215*A214^2+3*J215*A214^3)+(C214-C214)/10/A213</f>
        <v>0.11514223759196768</v>
      </c>
      <c r="H215" s="38">
        <f>0.5*H214*10/A213</f>
        <v>1.6537374466293824</v>
      </c>
      <c r="I215" s="38">
        <f>I214*100/(6*A213)</f>
        <v>0</v>
      </c>
      <c r="J215" s="38">
        <f>J214*1000/(12*A213)</f>
        <v>0</v>
      </c>
      <c r="K215" s="39" t="s">
        <v>94</v>
      </c>
    </row>
    <row r="216" spans="1:12" ht="13.5" x14ac:dyDescent="0.25">
      <c r="A216" s="41">
        <f>B216/10000</f>
        <v>0.2</v>
      </c>
      <c r="B216" s="42">
        <v>2000</v>
      </c>
      <c r="C216" s="43">
        <f>C214+G216</f>
        <v>377.06649865541584</v>
      </c>
      <c r="D216" s="44">
        <f>A213*(D215+E215*(1+LN(A216))-F215/A216^2+2*H215*A216+3*I215*A216^2+4*J215*A216^3)</f>
        <v>241.49716626790331</v>
      </c>
      <c r="E216" s="44">
        <f>A213*(E215+2*F215/A216^2+2*H215*A216+6*I215*A216^2+12*J215*A216^3)</f>
        <v>31.680000000000003</v>
      </c>
      <c r="F216" s="45"/>
      <c r="G216" s="44">
        <f>10*A213*(A216*(E215-2*F215/A216^2+H215*A216+2*I215*A216^2+3*J215*A216^3)-G215)</f>
        <v>48.766498655415838</v>
      </c>
      <c r="H216" s="45"/>
      <c r="I216" s="45"/>
      <c r="J216" s="45"/>
      <c r="K216" s="45"/>
    </row>
    <row r="218" spans="1:12" ht="13.5" x14ac:dyDescent="0.25">
      <c r="A218" s="15">
        <v>8.3145000000000007</v>
      </c>
      <c r="B218" s="1" t="s">
        <v>146</v>
      </c>
      <c r="C218" s="24" t="s">
        <v>147</v>
      </c>
      <c r="D218" s="25" t="s">
        <v>32</v>
      </c>
      <c r="E218" s="25" t="s">
        <v>15</v>
      </c>
      <c r="F218" s="26" t="s">
        <v>16</v>
      </c>
      <c r="G218" s="5" t="s">
        <v>148</v>
      </c>
      <c r="H218" s="26" t="s">
        <v>17</v>
      </c>
      <c r="I218" s="26" t="s">
        <v>18</v>
      </c>
      <c r="J218" s="26" t="s">
        <v>19</v>
      </c>
    </row>
    <row r="219" spans="1:12" ht="13.5" x14ac:dyDescent="0.25">
      <c r="A219" s="29">
        <v>2.9814999999999998E-2</v>
      </c>
      <c r="B219" s="30">
        <v>-1807.9</v>
      </c>
      <c r="C219" s="31">
        <f>B219-B220</f>
        <v>-1807.9</v>
      </c>
      <c r="D219" s="32">
        <v>158.6</v>
      </c>
      <c r="E219" s="32">
        <v>115.52</v>
      </c>
      <c r="F219" s="32">
        <v>-11.7</v>
      </c>
      <c r="G219" s="33">
        <f>10*A218*(A219*(E220-2*F220/A219^2+H220*A219+2*I220*A219^2+3*J220*A219^3)-G220)</f>
        <v>0</v>
      </c>
      <c r="H219" s="32">
        <v>30</v>
      </c>
      <c r="I219" s="32">
        <v>0</v>
      </c>
      <c r="J219" s="32">
        <v>0</v>
      </c>
      <c r="K219" s="28"/>
      <c r="L219" s="28"/>
    </row>
    <row r="220" spans="1:12" ht="13.5" x14ac:dyDescent="0.25">
      <c r="A220" s="36" t="s">
        <v>111</v>
      </c>
      <c r="B220" s="30"/>
      <c r="C220" s="37">
        <f>C219/(10*A218)</f>
        <v>-21.743941307354621</v>
      </c>
      <c r="D220" s="38">
        <f>D219/A218-E220*(1+LN(A219))+F220/A219^2-2*H220*A219-3*I220*A219^2-4*J220*A219^3</f>
        <v>52.119397779222055</v>
      </c>
      <c r="E220" s="37">
        <f>E219/A218</f>
        <v>13.893799987972818</v>
      </c>
      <c r="F220" s="38">
        <f>F219/2000/A218</f>
        <v>-7.0359011365686433E-4</v>
      </c>
      <c r="G220" s="38">
        <f>A219*(E220-2*F220/A219^2+H220*A219+2*I220*A219^2+3*J220*A219^3)+(C219-C219)/10/A218</f>
        <v>0.47747776253624646</v>
      </c>
      <c r="H220" s="38">
        <f>0.5*H219*10/A218</f>
        <v>18.040772145047807</v>
      </c>
      <c r="I220" s="38">
        <f>I219*100/(6*A218)</f>
        <v>0</v>
      </c>
      <c r="J220" s="38">
        <f>J219*1000/(12*A218)</f>
        <v>0</v>
      </c>
      <c r="K220" s="39" t="s">
        <v>94</v>
      </c>
      <c r="L220" s="28"/>
    </row>
    <row r="221" spans="1:12" ht="13.5" x14ac:dyDescent="0.25">
      <c r="A221" s="41">
        <f>B221/10000</f>
        <v>0.13950000000000001</v>
      </c>
      <c r="B221" s="42">
        <v>1395</v>
      </c>
      <c r="C221" s="43">
        <f>C219+G221</f>
        <v>-1656.4204038886569</v>
      </c>
      <c r="D221" s="44">
        <f>A218*(D220+E220*(1+LN(A221))-F220/A221^2+2*H220*A221+3*I220*A221^2+4*J220*A221^3)</f>
        <v>363.47867853265018</v>
      </c>
      <c r="E221" s="44">
        <f>A218*(E220+2*F220/A221^2+2*H220*A221+6*I220*A221^2+12*J220*A221^3)</f>
        <v>156.768774424789</v>
      </c>
      <c r="F221" s="45"/>
      <c r="G221" s="44">
        <f>10*A218*(A221*(E220-2*F220/A221^2+H220*A221+2*I220*A221^2+3*J220*A221^3)-G220)</f>
        <v>151.47959611134317</v>
      </c>
      <c r="H221" s="45"/>
      <c r="I221" s="45"/>
      <c r="J221" s="45"/>
      <c r="K221" s="45"/>
      <c r="L221" s="45"/>
    </row>
    <row r="222" spans="1:12" ht="13.5" x14ac:dyDescent="0.25">
      <c r="A222" s="49">
        <f>B222/10000</f>
        <v>0.13950000000000001</v>
      </c>
      <c r="B222" s="42">
        <v>1395</v>
      </c>
      <c r="C222" s="1">
        <v>-1655.8</v>
      </c>
      <c r="D222" s="50">
        <f>D221+L222</f>
        <v>363.92341250301359</v>
      </c>
      <c r="E222" s="32">
        <v>155.65</v>
      </c>
      <c r="F222" s="32">
        <v>0</v>
      </c>
      <c r="G222" s="33">
        <f>10*A218*(E223*A222-2*F223/A222-G223+H223*A222^2+2*I223*A222^3+3*J223*A222^4)</f>
        <v>152.10000000000014</v>
      </c>
      <c r="H222" s="32">
        <v>0</v>
      </c>
      <c r="I222" s="32">
        <v>0</v>
      </c>
      <c r="J222" s="32">
        <v>0</v>
      </c>
      <c r="K222" s="51">
        <f>C222-C221</f>
        <v>0.62040388865693785</v>
      </c>
      <c r="L222" s="51">
        <f>K222*1000/B222</f>
        <v>0.44473397036339629</v>
      </c>
    </row>
    <row r="223" spans="1:12" ht="13.5" x14ac:dyDescent="0.25">
      <c r="A223" s="36" t="s">
        <v>108</v>
      </c>
      <c r="B223" s="53"/>
      <c r="C223" s="37">
        <f>(C219)/(10*A218)</f>
        <v>-21.743941307354621</v>
      </c>
      <c r="D223" s="38">
        <f>D222/A218-E223*(1+LN(A222))+F223/A222^2-2*H223*A222-3*I223*A222^2-4*J223*A222^3</f>
        <v>61.922637138762774</v>
      </c>
      <c r="E223" s="37">
        <f>E222/A218</f>
        <v>18.720307895844609</v>
      </c>
      <c r="F223" s="38">
        <f>F222/2000/A218</f>
        <v>0</v>
      </c>
      <c r="G223" s="37">
        <f>A222*(E223-2*F223/A222^2+H223*A222+2*I223*A222^2+3*J223*A222^3)+(C219-C222)/10/A218</f>
        <v>0.78214865596247396</v>
      </c>
      <c r="H223" s="38">
        <f>0.5*H222*10/A218</f>
        <v>0</v>
      </c>
      <c r="I223" s="38">
        <f>I222*100/(6*A218)</f>
        <v>0</v>
      </c>
      <c r="J223" s="38">
        <f>J222*1000/(12*A218)</f>
        <v>0</v>
      </c>
      <c r="K223" s="54" t="s">
        <v>94</v>
      </c>
      <c r="L223" s="28"/>
    </row>
    <row r="224" spans="1:12" ht="13.5" x14ac:dyDescent="0.25">
      <c r="A224" s="41">
        <f>B224/10000</f>
        <v>0.2</v>
      </c>
      <c r="B224" s="55">
        <v>2000</v>
      </c>
      <c r="C224" s="45">
        <f>C219+G224</f>
        <v>-1561.63175</v>
      </c>
      <c r="D224" s="44">
        <f>A218*(D223+E223*(1+LN(A224))-F223/A224^2+2*H223*A224+3*I223*A224^2+4*J223*A224^3)</f>
        <v>419.9967554198754</v>
      </c>
      <c r="E224" s="55">
        <f>A218*(E223+2*F223/A224^2+2*H223*A224+6*I223*A224^2+12*J223*A224^3)</f>
        <v>155.65</v>
      </c>
      <c r="F224" s="45"/>
      <c r="G224" s="44">
        <f>10*A218*(E223*A224-2*F223/A224-G223+H223*A224^2+2*I223*A224^3+3*J223*A224^4)</f>
        <v>246.26825000000017</v>
      </c>
      <c r="H224" s="45"/>
      <c r="I224" s="45"/>
      <c r="J224" s="45"/>
      <c r="K224" s="45"/>
      <c r="L224" s="45"/>
    </row>
    <row r="226" spans="1:12" ht="13.5" x14ac:dyDescent="0.25">
      <c r="A226" s="15">
        <v>8.3145000000000007</v>
      </c>
      <c r="B226" s="1" t="s">
        <v>146</v>
      </c>
      <c r="C226" s="24" t="s">
        <v>147</v>
      </c>
      <c r="D226" s="25" t="s">
        <v>32</v>
      </c>
      <c r="E226" s="25" t="s">
        <v>15</v>
      </c>
      <c r="F226" s="26" t="s">
        <v>16</v>
      </c>
      <c r="G226" s="5" t="s">
        <v>148</v>
      </c>
      <c r="H226" s="26" t="s">
        <v>17</v>
      </c>
      <c r="I226" s="26" t="s">
        <v>18</v>
      </c>
      <c r="J226" s="26" t="s">
        <v>19</v>
      </c>
    </row>
    <row r="227" spans="1:12" ht="13.5" x14ac:dyDescent="0.25">
      <c r="A227" s="29">
        <v>2.9814999999999998E-2</v>
      </c>
      <c r="B227" s="30">
        <v>-961.1</v>
      </c>
      <c r="C227" s="31">
        <f>B227-B228</f>
        <v>-961.1</v>
      </c>
      <c r="D227" s="32">
        <v>135.1</v>
      </c>
      <c r="E227" s="32">
        <v>94.68</v>
      </c>
      <c r="F227" s="32">
        <v>-1.9</v>
      </c>
      <c r="G227" s="33">
        <f>10*A226*(A227*(E228-2*F228/A227^2+H228*A227+2*I228*A227^2+3*J228*A227^3)-G228)</f>
        <v>0</v>
      </c>
      <c r="H227" s="32">
        <v>9.33</v>
      </c>
      <c r="I227" s="32">
        <v>0</v>
      </c>
      <c r="J227" s="32">
        <v>0</v>
      </c>
      <c r="K227" s="28"/>
      <c r="L227" s="28"/>
    </row>
    <row r="228" spans="1:12" ht="13.5" x14ac:dyDescent="0.25">
      <c r="A228" s="36" t="s">
        <v>159</v>
      </c>
      <c r="B228" s="30"/>
      <c r="C228" s="37">
        <f>C227/(10*A226)</f>
        <v>-11.559324072403632</v>
      </c>
      <c r="D228" s="38">
        <f>D227/A226-E228*(1+LN(A227))+F228/A227^2-2*H228*A227-3*I228*A227^2-4*J228*A227^3</f>
        <v>44.399078043830777</v>
      </c>
      <c r="E228" s="37">
        <f>E227/A226</f>
        <v>11.387335377954177</v>
      </c>
      <c r="F228" s="38">
        <f>F227/2000/A226</f>
        <v>-1.1425822358530278E-4</v>
      </c>
      <c r="G228" s="38">
        <f>A227*(E228-2*F228/A227^2+H228*A227+2*I228*A227^2+3*J228*A227^3)+(C227-C227)/10/A226</f>
        <v>0.3521654090871586</v>
      </c>
      <c r="H228" s="38">
        <f>0.5*H227*10/A226</f>
        <v>5.6106801371098678</v>
      </c>
      <c r="I228" s="38">
        <f>I227*100/(6*A226)</f>
        <v>0</v>
      </c>
      <c r="J228" s="38">
        <f>J227*1000/(12*A226)</f>
        <v>0</v>
      </c>
      <c r="K228" s="39" t="s">
        <v>94</v>
      </c>
      <c r="L228" s="28"/>
    </row>
    <row r="229" spans="1:12" ht="13.5" x14ac:dyDescent="0.25">
      <c r="A229" s="41">
        <f>B229/10000</f>
        <v>0.1148</v>
      </c>
      <c r="B229" s="42">
        <v>1148</v>
      </c>
      <c r="C229" s="43">
        <f>C227+G229</f>
        <v>-875.37462555207094</v>
      </c>
      <c r="D229" s="44">
        <f>A226*(D228+E228*(1+LN(A229))-F228/A229^2+2*H228*A229+3*I228*A229^2+4*J228*A229^3)</f>
        <v>269.67815843355311</v>
      </c>
      <c r="E229" s="44">
        <f>A226*(E228+2*F228/A229^2+2*H228*A229+6*I228*A229^2+12*J228*A229^3)</f>
        <v>105.24667168425016</v>
      </c>
      <c r="F229" s="45"/>
      <c r="G229" s="44">
        <f>10*A226*(A229*(E228-2*F228/A229^2+H228*A229+2*I228*A229^2+3*J228*A229^3)-G228)</f>
        <v>85.725374447929042</v>
      </c>
      <c r="H229" s="45"/>
      <c r="I229" s="45"/>
      <c r="J229" s="45"/>
      <c r="K229" s="45"/>
      <c r="L229" s="45"/>
    </row>
    <row r="230" spans="1:12" ht="13.5" x14ac:dyDescent="0.25">
      <c r="A230" s="49">
        <f>B230/10000</f>
        <v>0.1148</v>
      </c>
      <c r="B230" s="42">
        <v>1148</v>
      </c>
      <c r="C230" s="1">
        <v>-811.7</v>
      </c>
      <c r="D230" s="50">
        <f>D229+L230</f>
        <v>325.1438601339633</v>
      </c>
      <c r="E230" s="32">
        <v>121.34</v>
      </c>
      <c r="F230" s="32">
        <v>0</v>
      </c>
      <c r="G230" s="33">
        <f>10*A226*(E231*A230-2*F231/A230-G231+H231*A230^2+2*I231*A230^3+3*J231*A230^4)</f>
        <v>149.39999999999998</v>
      </c>
      <c r="H230" s="32">
        <v>0</v>
      </c>
      <c r="I230" s="32">
        <v>0</v>
      </c>
      <c r="J230" s="32">
        <v>0</v>
      </c>
      <c r="K230" s="51">
        <f>C230-C229</f>
        <v>63.674625552070893</v>
      </c>
      <c r="L230" s="51">
        <f>K230*1000/B230</f>
        <v>55.465701700410186</v>
      </c>
    </row>
    <row r="231" spans="1:12" ht="13.5" x14ac:dyDescent="0.25">
      <c r="A231" s="36" t="s">
        <v>160</v>
      </c>
      <c r="B231" s="53"/>
      <c r="C231" s="37">
        <f>(C227)/(10*A226)</f>
        <v>-11.559324072403632</v>
      </c>
      <c r="D231" s="38">
        <f>D230/A226-E231*(1+LN(A230))+F231/A230^2-2*H231*A230-3*I231*A230^2-4*J231*A230^3</f>
        <v>56.101032056166133</v>
      </c>
      <c r="E231" s="37">
        <f>E230/A226</f>
        <v>14.593781947200673</v>
      </c>
      <c r="F231" s="38">
        <f>F230/2000/A226</f>
        <v>0</v>
      </c>
      <c r="G231" s="37">
        <f>A230*(E231-2*F231/A230^2+H231*A230+2*I231*A230^2+3*J231*A230^3)+(C227-C230)/10/A226</f>
        <v>-0.12149473810812395</v>
      </c>
      <c r="H231" s="38">
        <f>0.5*H230*10/A226</f>
        <v>0</v>
      </c>
      <c r="I231" s="38">
        <f>I230*100/(6*A226)</f>
        <v>0</v>
      </c>
      <c r="J231" s="38">
        <f>J230*1000/(12*A226)</f>
        <v>0</v>
      </c>
      <c r="K231" s="54" t="s">
        <v>94</v>
      </c>
      <c r="L231" s="28"/>
    </row>
    <row r="232" spans="1:12" ht="13.5" x14ac:dyDescent="0.25">
      <c r="A232" s="41">
        <f>B232/10000</f>
        <v>0.13</v>
      </c>
      <c r="B232" s="55">
        <v>1300</v>
      </c>
      <c r="C232" s="45">
        <f>C227+G232</f>
        <v>-793.25632000000007</v>
      </c>
      <c r="D232" s="44">
        <f>A226*(D231+E231*(1+LN(A232))-F231/A232^2+2*H231*A232+3*I231*A232^2+4*J231*A232^3)</f>
        <v>340.23163569758117</v>
      </c>
      <c r="E232" s="55">
        <f>A226*(E231+2*F231/A232^2+2*H231*A232+6*I231*A232^2+12*J231*A232^3)</f>
        <v>121.34</v>
      </c>
      <c r="F232" s="45"/>
      <c r="G232" s="44">
        <f>10*A226*(E231*A232-2*F231/A232-G231+H231*A232^2+2*I231*A232^3+3*J231*A232^4)</f>
        <v>167.84367999999998</v>
      </c>
      <c r="H232" s="45"/>
      <c r="I232" s="45"/>
      <c r="J232" s="45"/>
      <c r="K232" s="45"/>
      <c r="L232" s="45"/>
    </row>
    <row r="233" spans="1:12" ht="13.5" x14ac:dyDescent="0.25">
      <c r="A233" s="15">
        <v>8.3145000000000007</v>
      </c>
      <c r="B233" s="1" t="s">
        <v>146</v>
      </c>
      <c r="C233" s="24" t="s">
        <v>147</v>
      </c>
      <c r="D233" s="25" t="s">
        <v>32</v>
      </c>
      <c r="E233" s="25" t="s">
        <v>15</v>
      </c>
      <c r="F233" s="26" t="s">
        <v>16</v>
      </c>
      <c r="G233" s="5" t="s">
        <v>148</v>
      </c>
      <c r="H233" s="26" t="s">
        <v>17</v>
      </c>
      <c r="I233" s="26" t="s">
        <v>18</v>
      </c>
      <c r="J233" s="26" t="s">
        <v>19</v>
      </c>
    </row>
    <row r="234" spans="1:12" ht="13.5" x14ac:dyDescent="0.25">
      <c r="A234" s="29">
        <v>2.9814999999999998E-2</v>
      </c>
      <c r="B234" s="30">
        <v>-638.9</v>
      </c>
      <c r="C234" s="31">
        <f>B234-B235</f>
        <v>-638.9</v>
      </c>
      <c r="D234" s="32">
        <v>370</v>
      </c>
      <c r="E234" s="32">
        <v>82.89</v>
      </c>
      <c r="F234" s="32">
        <v>-4.3</v>
      </c>
      <c r="G234" s="33">
        <f>10*A233*(A234*(E235-2*F235/A234^2+H235*A234+2*I235*A234^2+3*J235*A234^3)-G235)</f>
        <v>0</v>
      </c>
      <c r="H234" s="32">
        <v>9.33</v>
      </c>
      <c r="I234" s="32">
        <v>0</v>
      </c>
      <c r="J234" s="32">
        <v>0</v>
      </c>
      <c r="K234" s="28"/>
    </row>
    <row r="235" spans="1:12" ht="13.5" x14ac:dyDescent="0.25">
      <c r="A235" s="36" t="s">
        <v>161</v>
      </c>
      <c r="B235" s="30"/>
      <c r="C235" s="37">
        <f>C234/(10*A233)</f>
        <v>-7.6841662156473616</v>
      </c>
      <c r="D235" s="38">
        <f>D234/A233-E235*(1+LN(A234))+F235/A234^2-2*H235*A234-3*I235*A234^2-4*J235*A234^3</f>
        <v>68.925486263407151</v>
      </c>
      <c r="E235" s="37">
        <f>E234/A233</f>
        <v>9.969330687353418</v>
      </c>
      <c r="F235" s="38">
        <f>F234/2000/A233</f>
        <v>-2.5858440074568524E-4</v>
      </c>
      <c r="G235" s="38">
        <f>A234*(E235-2*F235/A234^2+H235*A234+2*I235*A234^2+3*J235*A234^3)+(C234-C234)/10/A233</f>
        <v>0.31956904663990771</v>
      </c>
      <c r="H235" s="38">
        <f>0.5*H234*10/A233</f>
        <v>5.6106801371098678</v>
      </c>
      <c r="I235" s="38">
        <f>I234*100/(6*A233)</f>
        <v>0</v>
      </c>
      <c r="J235" s="38">
        <f>J234*1000/(12*A233)</f>
        <v>0</v>
      </c>
      <c r="K235" s="39" t="s">
        <v>94</v>
      </c>
    </row>
    <row r="236" spans="1:12" ht="13.5" x14ac:dyDescent="0.25">
      <c r="A236" s="41">
        <f>B236/10000</f>
        <v>0.2</v>
      </c>
      <c r="B236" s="42">
        <v>2000</v>
      </c>
      <c r="C236" s="43">
        <f>C234+G236</f>
        <v>-480.81556838287509</v>
      </c>
      <c r="D236" s="44">
        <f>A233*(D235+E235*(1+LN(A236))-F235/A236^2+2*H235*A236+3*I235*A236^2+4*J235*A236^3)</f>
        <v>541.27839697543629</v>
      </c>
      <c r="E236" s="44">
        <f>A233*(E235+2*F235/A236^2+2*H235*A236+6*I235*A236^2+12*J235*A236^3)</f>
        <v>101.4425</v>
      </c>
      <c r="F236" s="45"/>
      <c r="G236" s="44">
        <f>10*A233*(A236*(E235-2*F235/A236^2+H235*A236+2*I235*A236^2+3*J235*A236^3)-G235)</f>
        <v>158.08443161712489</v>
      </c>
      <c r="H236" s="45"/>
      <c r="I236" s="45"/>
      <c r="J236" s="45"/>
      <c r="K236" s="45"/>
    </row>
    <row r="238" spans="1:12" ht="13.5" x14ac:dyDescent="0.25">
      <c r="A238" s="15">
        <v>8.3145000000000007</v>
      </c>
      <c r="B238" s="1" t="s">
        <v>146</v>
      </c>
      <c r="C238" s="24" t="s">
        <v>147</v>
      </c>
      <c r="D238" s="74" t="s">
        <v>32</v>
      </c>
      <c r="E238" s="25" t="s">
        <v>15</v>
      </c>
      <c r="F238" s="26" t="s">
        <v>16</v>
      </c>
      <c r="G238" s="5" t="s">
        <v>148</v>
      </c>
      <c r="H238" s="26" t="s">
        <v>17</v>
      </c>
      <c r="I238" s="26" t="s">
        <v>18</v>
      </c>
      <c r="J238" s="26" t="s">
        <v>19</v>
      </c>
    </row>
    <row r="239" spans="1:12" x14ac:dyDescent="0.2">
      <c r="A239" s="29">
        <v>2.9814999999999998E-2</v>
      </c>
      <c r="B239" s="62">
        <v>-799.1</v>
      </c>
      <c r="C239" s="63">
        <f>B239-B240</f>
        <v>-799.1</v>
      </c>
      <c r="D239" s="15">
        <v>122.6</v>
      </c>
      <c r="E239" s="64">
        <v>67.989999999999995</v>
      </c>
      <c r="F239" s="64">
        <v>0</v>
      </c>
      <c r="G239" s="29">
        <f>10*A238*(A239*(E240-2*F240/A239^2+H240*A239+2*I240*A239^2+3*J240*A239^3)-G240)</f>
        <v>0</v>
      </c>
      <c r="H239" s="64">
        <v>20.92</v>
      </c>
      <c r="I239" s="64">
        <v>0</v>
      </c>
      <c r="J239" s="64">
        <v>0</v>
      </c>
    </row>
    <row r="240" spans="1:12" ht="13.5" x14ac:dyDescent="0.25">
      <c r="A240" s="65" t="s">
        <v>73</v>
      </c>
      <c r="B240" s="62"/>
      <c r="C240" s="37">
        <f>C239/(10*A238)</f>
        <v>-9.6109206807384684</v>
      </c>
      <c r="D240" s="37">
        <f>D239/A238-E240*(1+LN(A239))+F240/A239^2-2*H240*A239-3*I240*A239^2-4*J240*A239^3</f>
        <v>34.542563377126285</v>
      </c>
      <c r="E240" s="37">
        <f>E239/A238</f>
        <v>8.1772806542786682</v>
      </c>
      <c r="F240" s="38">
        <f>F239/2000/A238</f>
        <v>0</v>
      </c>
      <c r="G240" s="38">
        <f>A239*(E240-2*F240/A239^2+H240*A239+2*I240*A239^2+3*J240*A239^3)+(C239-C239)/10/A238</f>
        <v>0.2549887990781165</v>
      </c>
      <c r="H240" s="37">
        <f>0.5*H239*10/A238</f>
        <v>12.580431775813338</v>
      </c>
      <c r="I240" s="37">
        <f>I239*100/(6*A238)</f>
        <v>0</v>
      </c>
      <c r="J240" s="37">
        <f>J239*1000/(12*A238)</f>
        <v>0</v>
      </c>
      <c r="K240" s="66" t="s">
        <v>156</v>
      </c>
    </row>
    <row r="241" spans="1:19" x14ac:dyDescent="0.2">
      <c r="A241" s="41">
        <f>B241/10000</f>
        <v>0.1</v>
      </c>
      <c r="B241" s="67">
        <v>1000</v>
      </c>
      <c r="C241" s="68">
        <f>C239+G241</f>
        <v>-741.85104369935004</v>
      </c>
      <c r="D241" s="41">
        <f>A238*(D240+E240*(1+LN(A241))-F240/A241^2+2*H240*A241+3*I240*A241^2+4*J240*A241^3)</f>
        <v>219.5613827264514</v>
      </c>
      <c r="E241" s="41">
        <f>A238*(E240+2*F240/A241^2+2*H240*A241+6*I240*A241^2+12*J240*A241^3)</f>
        <v>88.909999999999982</v>
      </c>
      <c r="F241" s="46"/>
      <c r="G241" s="41">
        <f>10*A238*(A241*(E240-2*F240/A241^2+H240*A241+2*I240*A241^2+3*J240*A241^3)-G240)</f>
        <v>57.248956300650001</v>
      </c>
      <c r="H241" s="46"/>
      <c r="I241" s="46"/>
      <c r="J241" s="46"/>
      <c r="K241" s="46"/>
    </row>
    <row r="242" spans="1:19" x14ac:dyDescent="0.2">
      <c r="E242" s="8" t="s">
        <v>22</v>
      </c>
      <c r="F242" s="23" t="s">
        <v>26</v>
      </c>
      <c r="G242" s="10"/>
      <c r="H242" s="10" t="s">
        <v>23</v>
      </c>
      <c r="I242" s="10" t="s">
        <v>24</v>
      </c>
      <c r="J242" s="10" t="s">
        <v>25</v>
      </c>
      <c r="N242" s="2" t="s">
        <v>163</v>
      </c>
    </row>
    <row r="243" spans="1:19" ht="13.5" x14ac:dyDescent="0.25">
      <c r="A243" s="15">
        <v>8.3145000000000007</v>
      </c>
      <c r="B243" s="1" t="s">
        <v>146</v>
      </c>
      <c r="C243" s="24" t="s">
        <v>147</v>
      </c>
      <c r="D243" s="25" t="s">
        <v>32</v>
      </c>
      <c r="E243" s="25" t="s">
        <v>15</v>
      </c>
      <c r="F243" s="26" t="s">
        <v>16</v>
      </c>
      <c r="G243" s="5" t="s">
        <v>148</v>
      </c>
      <c r="H243" s="26" t="s">
        <v>17</v>
      </c>
      <c r="I243" s="26" t="s">
        <v>18</v>
      </c>
      <c r="J243" s="26" t="s">
        <v>19</v>
      </c>
      <c r="N243" s="2">
        <v>4.1840000000000002</v>
      </c>
    </row>
    <row r="244" spans="1:19" ht="13.5" x14ac:dyDescent="0.25">
      <c r="A244" s="29">
        <v>2.9814999999999998E-2</v>
      </c>
      <c r="B244" s="30">
        <v>-869.47400000000005</v>
      </c>
      <c r="C244" s="31">
        <f>B244-B245</f>
        <v>-869.47400000000005</v>
      </c>
      <c r="D244" s="32">
        <v>47.86</v>
      </c>
      <c r="E244" s="32">
        <f>14.78*N243</f>
        <v>61.83952</v>
      </c>
      <c r="F244" s="32">
        <f>-4.306*N243</f>
        <v>-18.016304000000002</v>
      </c>
      <c r="G244" s="33">
        <f>10*A243*(A244*(E245-2*F245/A244^2+H245*A244+2*I245*A244^2+3*J245*A244^3)-G245)</f>
        <v>0</v>
      </c>
      <c r="H244" s="32">
        <f>2.222*N243</f>
        <v>9.2968480000000007</v>
      </c>
      <c r="I244" s="32">
        <v>0</v>
      </c>
      <c r="J244" s="32">
        <v>0</v>
      </c>
      <c r="K244" s="28"/>
      <c r="M244" s="2" t="s">
        <v>164</v>
      </c>
    </row>
    <row r="245" spans="1:19" ht="13.5" x14ac:dyDescent="0.25">
      <c r="A245" s="36" t="s">
        <v>162</v>
      </c>
      <c r="B245" s="30"/>
      <c r="C245" s="37">
        <f>C244/(10*A243)</f>
        <v>-10.457321546695532</v>
      </c>
      <c r="D245" s="38">
        <f>D244/A243-E245*(1+LN(A244))+F245/A244^2-2*H245*A244-3*I245*A244^2-4*J245*A244^3</f>
        <v>22.892699766923737</v>
      </c>
      <c r="E245" s="37">
        <f>E244/A243</f>
        <v>7.4375512658608454</v>
      </c>
      <c r="F245" s="38">
        <f>F244/2000/A243</f>
        <v>-1.0834267845330446E-3</v>
      </c>
      <c r="G245" s="38">
        <f>A244*(E245-2*F245/A244^2+H245*A244+2*I245*A244^2+3*J245*A244^3)+(C244-C244)/10/A243</f>
        <v>0.29939701939276198</v>
      </c>
      <c r="H245" s="38">
        <f>0.5*H244*10/A243</f>
        <v>5.5907438811714467</v>
      </c>
      <c r="I245" s="38">
        <f>I244*100/(6*A243)</f>
        <v>0</v>
      </c>
      <c r="J245" s="38">
        <f>J244*1000/(12*A243)</f>
        <v>0</v>
      </c>
      <c r="K245" s="39" t="s">
        <v>94</v>
      </c>
      <c r="N245" s="32">
        <f>52.17</f>
        <v>52.17</v>
      </c>
      <c r="O245" s="32">
        <f>-0.013311*100000</f>
        <v>-1331.1</v>
      </c>
      <c r="P245" s="33"/>
      <c r="Q245" s="32">
        <f>2400.4/1000</f>
        <v>2.4004000000000003</v>
      </c>
      <c r="R245" s="32">
        <f>-406.8/0.000001</f>
        <v>-406800000</v>
      </c>
      <c r="S245" s="32">
        <v>0</v>
      </c>
    </row>
    <row r="246" spans="1:19" ht="13.5" x14ac:dyDescent="0.25">
      <c r="A246" s="41">
        <f>B246/10000</f>
        <v>2.9814999999999998E-2</v>
      </c>
      <c r="B246" s="42">
        <v>298.14999999999998</v>
      </c>
      <c r="C246" s="43">
        <f>C244+G246</f>
        <v>-869.47400000000005</v>
      </c>
      <c r="D246" s="79">
        <f>A243*(D245+E245*(1+LN(A246))-F245/A246^2+2*H245*A246+3*I245*A246^2+4*J245*A246^3)</f>
        <v>47.86</v>
      </c>
      <c r="E246" s="79">
        <f>A243*(E245+2*F245/A246^2+2*H245*A246+6*I245*A246^2+12*J245*A246^3)</f>
        <v>44.344066927258837</v>
      </c>
      <c r="F246" s="45"/>
      <c r="G246" s="44">
        <f>10*A243*(A246*(E245-2*F245/A246^2+H245*A246+2*I245*A246^2+3*J245*A246^3)-G245)</f>
        <v>0</v>
      </c>
      <c r="H246" s="45"/>
      <c r="I246" s="45"/>
      <c r="J246" s="45"/>
      <c r="K246" s="45"/>
    </row>
  </sheetData>
  <dataConsolidate/>
  <phoneticPr fontId="0" type="noConversion"/>
  <pageMargins left="0.32" right="0.3" top="0.69" bottom="0.17" header="0.5" footer="0.5"/>
  <pageSetup paperSize="9" scale="105" orientation="landscape" verticalDpi="144" r:id="rId1"/>
  <headerFooter alignWithMargins="0"/>
  <ignoredErrors>
    <ignoredError sqref="B17 B20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H10"/>
  <sheetViews>
    <sheetView workbookViewId="0">
      <selection activeCell="D10" sqref="D10"/>
    </sheetView>
  </sheetViews>
  <sheetFormatPr defaultRowHeight="12.75" x14ac:dyDescent="0.2"/>
  <sheetData>
    <row r="9" spans="4:8" x14ac:dyDescent="0.2">
      <c r="H9">
        <v>63</v>
      </c>
    </row>
    <row r="10" spans="4:8" x14ac:dyDescent="0.2">
      <c r="D10">
        <f>H9*23</f>
        <v>1449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fi-coeff</vt:lpstr>
      <vt:lpstr>Лист2</vt:lpstr>
      <vt:lpstr>Лист3</vt:lpstr>
      <vt:lpstr>'fi-coeff'!Область_печати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Кутьин М.А.</dc:creator>
  <cp:lastModifiedBy>Home</cp:lastModifiedBy>
  <cp:lastPrinted>2017-06-15T08:36:51Z</cp:lastPrinted>
  <dcterms:created xsi:type="dcterms:W3CDTF">2003-03-31T08:53:44Z</dcterms:created>
  <dcterms:modified xsi:type="dcterms:W3CDTF">2020-10-02T17:51:36Z</dcterms:modified>
</cp:coreProperties>
</file>