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gnu\Desktop\MSK M7\LaTex Filer\Elektroteknik_LaTeX_Calc\"/>
    </mc:Choice>
  </mc:AlternateContent>
  <xr:revisionPtr revIDLastSave="0" documentId="13_ncr:1_{B99AFF70-E391-4E33-BEBE-0FBC2E0B5974}" xr6:coauthVersionLast="47" xr6:coauthVersionMax="47" xr10:uidLastSave="{00000000-0000-0000-0000-000000000000}"/>
  <bookViews>
    <workbookView xWindow="-110" yWindow="-110" windowWidth="29020" windowHeight="17500" xr2:uid="{6DB3DCD9-952C-4559-B858-6104E1B1AD1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13" i="1" l="1"/>
  <c r="U14" i="1"/>
  <c r="U15" i="1"/>
  <c r="U16" i="1"/>
  <c r="W16" i="1" s="1"/>
  <c r="U17" i="1"/>
  <c r="U18" i="1"/>
  <c r="U19" i="1"/>
  <c r="U20" i="1"/>
  <c r="U21" i="1"/>
  <c r="W21" i="1" s="1"/>
  <c r="U22" i="1"/>
  <c r="U23" i="1"/>
  <c r="Y23" i="1" s="1"/>
  <c r="U24" i="1"/>
  <c r="Y24" i="1" s="1"/>
  <c r="U25" i="1"/>
  <c r="W25" i="1" s="1"/>
  <c r="U26" i="1"/>
  <c r="Y26" i="1" s="1"/>
  <c r="U12" i="1"/>
  <c r="W12" i="1" s="1"/>
  <c r="Z12" i="1" s="1"/>
  <c r="M12" i="1" s="1"/>
  <c r="N12" i="1" s="1"/>
  <c r="Y25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12" i="1"/>
  <c r="W13" i="1"/>
  <c r="W14" i="1"/>
  <c r="W15" i="1"/>
  <c r="W17" i="1"/>
  <c r="W18" i="1"/>
  <c r="W19" i="1"/>
  <c r="W20" i="1"/>
  <c r="K42" i="1"/>
  <c r="K43" i="1"/>
  <c r="K41" i="1"/>
  <c r="X12" i="1" s="1"/>
  <c r="K40" i="1"/>
  <c r="Y11" i="1"/>
  <c r="X11" i="1"/>
  <c r="W11" i="1"/>
  <c r="V11" i="1"/>
  <c r="Z24" i="1" s="1"/>
  <c r="M24" i="1" s="1"/>
  <c r="N24" i="1" s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12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W24" i="1" l="1"/>
  <c r="W26" i="1"/>
  <c r="W23" i="1"/>
  <c r="Z21" i="1"/>
  <c r="M21" i="1" s="1"/>
  <c r="N21" i="1" s="1"/>
  <c r="W22" i="1"/>
  <c r="Y12" i="1"/>
  <c r="Z13" i="1"/>
  <c r="O13" i="1" s="1"/>
  <c r="Z23" i="1"/>
  <c r="M23" i="1" s="1"/>
  <c r="N23" i="1" s="1"/>
  <c r="Z20" i="1"/>
  <c r="M20" i="1" s="1"/>
  <c r="N20" i="1" s="1"/>
  <c r="Z19" i="1"/>
  <c r="M19" i="1" s="1"/>
  <c r="N19" i="1" s="1"/>
  <c r="Z18" i="1"/>
  <c r="M18" i="1" s="1"/>
  <c r="N18" i="1" s="1"/>
  <c r="Z17" i="1"/>
  <c r="M17" i="1" s="1"/>
  <c r="N17" i="1" s="1"/>
  <c r="Z15" i="1"/>
  <c r="M15" i="1" s="1"/>
  <c r="Z14" i="1"/>
  <c r="O14" i="1" s="1"/>
  <c r="Z16" i="1"/>
  <c r="M16" i="1" s="1"/>
  <c r="N16" i="1" s="1"/>
  <c r="Z26" i="1"/>
  <c r="M26" i="1" s="1"/>
  <c r="N26" i="1" s="1"/>
  <c r="Z25" i="1"/>
  <c r="M25" i="1" s="1"/>
  <c r="N25" i="1" s="1"/>
  <c r="AA12" i="1"/>
  <c r="AG12" i="1" s="1"/>
  <c r="AB12" i="1"/>
  <c r="AH12" i="1" s="1"/>
  <c r="AB24" i="1"/>
  <c r="AH24" i="1" s="1"/>
  <c r="AA24" i="1"/>
  <c r="AG24" i="1" s="1"/>
  <c r="Y13" i="1"/>
  <c r="Y22" i="1"/>
  <c r="Z22" i="1" s="1"/>
  <c r="M22" i="1" s="1"/>
  <c r="Y21" i="1"/>
  <c r="Y20" i="1"/>
  <c r="Y19" i="1"/>
  <c r="Y18" i="1"/>
  <c r="Y17" i="1"/>
  <c r="Y16" i="1"/>
  <c r="Y15" i="1"/>
  <c r="Y14" i="1"/>
  <c r="Q16" i="1"/>
  <c r="Q26" i="1"/>
  <c r="Q25" i="1"/>
  <c r="Q17" i="1"/>
  <c r="O26" i="1"/>
  <c r="O17" i="1"/>
  <c r="O25" i="1"/>
  <c r="O24" i="1"/>
  <c r="Q21" i="1"/>
  <c r="O23" i="1"/>
  <c r="Q20" i="1"/>
  <c r="O22" i="1"/>
  <c r="Q19" i="1"/>
  <c r="O21" i="1"/>
  <c r="Q18" i="1"/>
  <c r="O20" i="1"/>
  <c r="O19" i="1"/>
  <c r="O18" i="1"/>
  <c r="O16" i="1"/>
  <c r="Q23" i="1"/>
  <c r="Q24" i="1"/>
  <c r="Q15" i="1"/>
  <c r="Q12" i="1"/>
  <c r="O12" i="1"/>
  <c r="O15" i="1" l="1"/>
  <c r="AB21" i="1"/>
  <c r="AH21" i="1" s="1"/>
  <c r="M14" i="1"/>
  <c r="N14" i="1" s="1"/>
  <c r="Q14" i="1"/>
  <c r="M13" i="1"/>
  <c r="N13" i="1" s="1"/>
  <c r="AB13" i="1" s="1"/>
  <c r="AH13" i="1" s="1"/>
  <c r="Q13" i="1"/>
  <c r="AA19" i="1"/>
  <c r="AG19" i="1" s="1"/>
  <c r="AB19" i="1"/>
  <c r="AH19" i="1" s="1"/>
  <c r="N15" i="1"/>
  <c r="AA15" i="1" s="1"/>
  <c r="AG15" i="1" s="1"/>
  <c r="AB23" i="1"/>
  <c r="AH23" i="1" s="1"/>
  <c r="AA18" i="1"/>
  <c r="AG18" i="1" s="1"/>
  <c r="AB18" i="1"/>
  <c r="AH18" i="1" s="1"/>
  <c r="AA20" i="1"/>
  <c r="AG20" i="1" s="1"/>
  <c r="AA21" i="1"/>
  <c r="AG21" i="1" s="1"/>
  <c r="AA17" i="1"/>
  <c r="AG17" i="1" s="1"/>
  <c r="AB26" i="1"/>
  <c r="AH26" i="1" s="1"/>
  <c r="AB17" i="1"/>
  <c r="AH17" i="1" s="1"/>
  <c r="AB20" i="1"/>
  <c r="AH20" i="1" s="1"/>
  <c r="AA26" i="1"/>
  <c r="AG26" i="1" s="1"/>
  <c r="AB16" i="1"/>
  <c r="AH16" i="1" s="1"/>
  <c r="AA23" i="1"/>
  <c r="AG23" i="1" s="1"/>
  <c r="AB14" i="1"/>
  <c r="AH14" i="1" s="1"/>
  <c r="AA25" i="1"/>
  <c r="AG25" i="1" s="1"/>
  <c r="AB25" i="1"/>
  <c r="AH25" i="1" s="1"/>
  <c r="AA16" i="1"/>
  <c r="AC17" i="1"/>
  <c r="AI17" i="1" s="1"/>
  <c r="AD17" i="1"/>
  <c r="AJ17" i="1" s="1"/>
  <c r="AE25" i="1"/>
  <c r="AK25" i="1" s="1"/>
  <c r="AF25" i="1"/>
  <c r="AL25" i="1" s="1"/>
  <c r="AF17" i="1"/>
  <c r="AL17" i="1" s="1"/>
  <c r="AE17" i="1"/>
  <c r="AK17" i="1" s="1"/>
  <c r="AC19" i="1"/>
  <c r="AI19" i="1" s="1"/>
  <c r="AD19" i="1"/>
  <c r="AJ19" i="1" s="1"/>
  <c r="AE24" i="1"/>
  <c r="AK24" i="1" s="1"/>
  <c r="AF24" i="1"/>
  <c r="AL24" i="1" s="1"/>
  <c r="AE23" i="1"/>
  <c r="AK23" i="1" s="1"/>
  <c r="AF23" i="1"/>
  <c r="AL23" i="1" s="1"/>
  <c r="AE26" i="1"/>
  <c r="AK26" i="1" s="1"/>
  <c r="AF26" i="1"/>
  <c r="AL26" i="1" s="1"/>
  <c r="AE18" i="1"/>
  <c r="AK18" i="1" s="1"/>
  <c r="AF18" i="1"/>
  <c r="AL18" i="1" s="1"/>
  <c r="AD20" i="1"/>
  <c r="AJ20" i="1" s="1"/>
  <c r="AC20" i="1"/>
  <c r="AI20" i="1" s="1"/>
  <c r="AC25" i="1"/>
  <c r="AI25" i="1" s="1"/>
  <c r="AD25" i="1"/>
  <c r="AJ25" i="1" s="1"/>
  <c r="AC26" i="1"/>
  <c r="AI26" i="1" s="1"/>
  <c r="AD26" i="1"/>
  <c r="AJ26" i="1" s="1"/>
  <c r="AC18" i="1"/>
  <c r="AI18" i="1" s="1"/>
  <c r="AD18" i="1"/>
  <c r="AJ18" i="1" s="1"/>
  <c r="AE20" i="1"/>
  <c r="AK20" i="1" s="1"/>
  <c r="AF20" i="1"/>
  <c r="AL20" i="1" s="1"/>
  <c r="AE15" i="1"/>
  <c r="AK15" i="1" s="1"/>
  <c r="AF15" i="1"/>
  <c r="AL15" i="1" s="1"/>
  <c r="AC16" i="1"/>
  <c r="AI16" i="1" s="1"/>
  <c r="AD16" i="1"/>
  <c r="AJ16" i="1" s="1"/>
  <c r="AC23" i="1"/>
  <c r="AI23" i="1" s="1"/>
  <c r="AD23" i="1"/>
  <c r="AJ23" i="1" s="1"/>
  <c r="AF19" i="1"/>
  <c r="AL19" i="1" s="1"/>
  <c r="AE19" i="1"/>
  <c r="AK19" i="1" s="1"/>
  <c r="AE21" i="1"/>
  <c r="AK21" i="1" s="1"/>
  <c r="AF21" i="1"/>
  <c r="AL21" i="1" s="1"/>
  <c r="AC21" i="1"/>
  <c r="AI21" i="1" s="1"/>
  <c r="AD21" i="1"/>
  <c r="AJ21" i="1" s="1"/>
  <c r="AD22" i="1"/>
  <c r="AJ22" i="1" s="1"/>
  <c r="AC22" i="1"/>
  <c r="AI22" i="1" s="1"/>
  <c r="AC24" i="1"/>
  <c r="AI24" i="1" s="1"/>
  <c r="AD24" i="1"/>
  <c r="AJ24" i="1" s="1"/>
  <c r="N22" i="1"/>
  <c r="AA22" i="1"/>
  <c r="AG22" i="1" s="1"/>
  <c r="AB22" i="1"/>
  <c r="AH22" i="1" s="1"/>
  <c r="P13" i="1"/>
  <c r="AC13" i="1" s="1"/>
  <c r="AI13" i="1" s="1"/>
  <c r="Q22" i="1"/>
  <c r="R22" i="1" s="1"/>
  <c r="P14" i="1"/>
  <c r="AD14" i="1" s="1"/>
  <c r="AJ14" i="1" s="1"/>
  <c r="P15" i="1"/>
  <c r="AD15" i="1" s="1"/>
  <c r="AJ15" i="1" s="1"/>
  <c r="R23" i="1"/>
  <c r="P25" i="1"/>
  <c r="R25" i="1"/>
  <c r="R21" i="1"/>
  <c r="R15" i="1"/>
  <c r="R26" i="1"/>
  <c r="P17" i="1"/>
  <c r="P23" i="1"/>
  <c r="R24" i="1"/>
  <c r="P20" i="1"/>
  <c r="P16" i="1"/>
  <c r="R16" i="1"/>
  <c r="AF16" i="1" s="1"/>
  <c r="AL16" i="1" s="1"/>
  <c r="R18" i="1"/>
  <c r="P19" i="1"/>
  <c r="R12" i="1"/>
  <c r="AF12" i="1" s="1"/>
  <c r="AL12" i="1" s="1"/>
  <c r="P24" i="1"/>
  <c r="P26" i="1"/>
  <c r="P21" i="1"/>
  <c r="R19" i="1"/>
  <c r="R20" i="1"/>
  <c r="R17" i="1"/>
  <c r="P18" i="1"/>
  <c r="P12" i="1"/>
  <c r="AD12" i="1" s="1"/>
  <c r="AJ12" i="1" s="1"/>
  <c r="P22" i="1"/>
  <c r="AE16" i="1" l="1"/>
  <c r="AK16" i="1" s="1"/>
  <c r="AC15" i="1"/>
  <c r="AI15" i="1" s="1"/>
  <c r="AB15" i="1"/>
  <c r="AH15" i="1" s="1"/>
  <c r="AC14" i="1"/>
  <c r="AI14" i="1" s="1"/>
  <c r="AA14" i="1"/>
  <c r="AG14" i="1" s="1"/>
  <c r="AA13" i="1"/>
  <c r="AG13" i="1" s="1"/>
  <c r="AC12" i="1"/>
  <c r="AI12" i="1" s="1"/>
  <c r="R14" i="1"/>
  <c r="AE14" i="1" s="1"/>
  <c r="AK14" i="1" s="1"/>
  <c r="AE12" i="1"/>
  <c r="AK12" i="1" s="1"/>
  <c r="R13" i="1"/>
  <c r="AF13" i="1" s="1"/>
  <c r="AL13" i="1" s="1"/>
  <c r="AI28" i="1"/>
  <c r="AH28" i="1"/>
  <c r="AA28" i="1"/>
  <c r="AG16" i="1"/>
  <c r="AG28" i="1" s="1"/>
  <c r="M30" i="1" s="1"/>
  <c r="AB28" i="1"/>
  <c r="M28" i="1" s="1"/>
  <c r="AE22" i="1"/>
  <c r="AK22" i="1" s="1"/>
  <c r="AF22" i="1"/>
  <c r="AD13" i="1"/>
  <c r="AC28" i="1" l="1"/>
  <c r="AF14" i="1"/>
  <c r="AL14" i="1" s="1"/>
  <c r="AE13" i="1"/>
  <c r="AK13" i="1" s="1"/>
  <c r="AK28" i="1" s="1"/>
  <c r="AD28" i="1"/>
  <c r="AJ13" i="1"/>
  <c r="AJ28" i="1" s="1"/>
  <c r="O30" i="1" s="1"/>
  <c r="AE28" i="1"/>
  <c r="AF28" i="1"/>
  <c r="AL22" i="1"/>
  <c r="AL28" i="1" s="1"/>
  <c r="N28" i="1"/>
  <c r="N29" i="1" s="1"/>
  <c r="O28" i="1"/>
  <c r="Q28" i="1"/>
  <c r="Q30" i="1" l="1"/>
  <c r="P30" i="1"/>
  <c r="P31" i="1" s="1"/>
  <c r="N30" i="1"/>
  <c r="N31" i="1" s="1"/>
  <c r="R28" i="1"/>
  <c r="R29" i="1" s="1"/>
  <c r="P28" i="1"/>
  <c r="P29" i="1" s="1"/>
  <c r="R30" i="1" l="1"/>
  <c r="R31" i="1" s="1"/>
</calcChain>
</file>

<file path=xl/sharedStrings.xml><?xml version="1.0" encoding="utf-8"?>
<sst xmlns="http://schemas.openxmlformats.org/spreadsheetml/2006/main" count="141" uniqueCount="49">
  <si>
    <t>P</t>
  </si>
  <si>
    <t>Q</t>
  </si>
  <si>
    <t>S</t>
  </si>
  <si>
    <t>Navn</t>
  </si>
  <si>
    <t>Ib/P/S/Q</t>
  </si>
  <si>
    <t>Værdi</t>
  </si>
  <si>
    <t>Cos/&lt;</t>
  </si>
  <si>
    <t>Fase(r)</t>
  </si>
  <si>
    <t>Udv.</t>
  </si>
  <si>
    <t>Sf</t>
  </si>
  <si>
    <t>Nr.</t>
  </si>
  <si>
    <t>Ib</t>
  </si>
  <si>
    <t>A</t>
  </si>
  <si>
    <t>kW</t>
  </si>
  <si>
    <t>VA</t>
  </si>
  <si>
    <t>Var</t>
  </si>
  <si>
    <t>Vælg</t>
  </si>
  <si>
    <t xml:space="preserve"> </t>
  </si>
  <si>
    <t>cosPhi</t>
  </si>
  <si>
    <t>Vinkel</t>
  </si>
  <si>
    <t>Grader</t>
  </si>
  <si>
    <t>3f</t>
  </si>
  <si>
    <t>L1</t>
  </si>
  <si>
    <t>L2</t>
  </si>
  <si>
    <t>L3</t>
  </si>
  <si>
    <t>L1-L2</t>
  </si>
  <si>
    <t>L2-L3</t>
  </si>
  <si>
    <t>L3-L1</t>
  </si>
  <si>
    <t>kW-A</t>
  </si>
  <si>
    <t>A-A</t>
  </si>
  <si>
    <t>VA-A</t>
  </si>
  <si>
    <t>Var-A</t>
  </si>
  <si>
    <t>Netspænding</t>
  </si>
  <si>
    <t>V</t>
  </si>
  <si>
    <t>Skjult Ib</t>
  </si>
  <si>
    <t>Tavle beskrivelse</t>
  </si>
  <si>
    <t>A10</t>
  </si>
  <si>
    <t>Iw</t>
  </si>
  <si>
    <t>Iwl</t>
  </si>
  <si>
    <t>Ialt</t>
  </si>
  <si>
    <t>vinkel</t>
  </si>
  <si>
    <t>Uden Udv + Sf</t>
  </si>
  <si>
    <t>Med Udv + Sf</t>
  </si>
  <si>
    <t>NOTER:
Her kan der skrives ekstra noter</t>
  </si>
  <si>
    <t>Lys</t>
  </si>
  <si>
    <t>Lydanlæg</t>
  </si>
  <si>
    <t>Metro vandvarmer</t>
  </si>
  <si>
    <t>Computere</t>
  </si>
  <si>
    <t>Induktiv vinkel = negativ
Der regnes lokale vinkler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</si>
</sst>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3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8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4" borderId="14" xfId="0" applyFill="1" applyBorder="1"/>
    <xf numFmtId="0" fontId="0" fillId="4" borderId="10" xfId="0" applyFill="1" applyBorder="1"/>
    <xf numFmtId="0" fontId="0" fillId="4" borderId="15" xfId="0" applyFill="1" applyBorder="1"/>
    <xf numFmtId="0" fontId="0" fillId="4" borderId="16" xfId="0" applyFill="1" applyBorder="1"/>
    <xf numFmtId="0" fontId="0" fillId="4" borderId="17" xfId="0" applyFill="1" applyBorder="1"/>
    <xf numFmtId="0" fontId="0" fillId="4" borderId="18" xfId="0" applyFill="1" applyBorder="1"/>
    <xf numFmtId="0" fontId="0" fillId="4" borderId="19" xfId="0" applyFill="1" applyBorder="1"/>
    <xf numFmtId="0" fontId="0" fillId="4" borderId="20" xfId="0" applyFill="1" applyBorder="1"/>
    <xf numFmtId="0" fontId="0" fillId="6" borderId="11" xfId="0" applyFill="1" applyBorder="1"/>
    <xf numFmtId="0" fontId="0" fillId="6" borderId="22" xfId="0" applyFill="1" applyBorder="1"/>
    <xf numFmtId="0" fontId="0" fillId="6" borderId="12" xfId="0" applyFill="1" applyBorder="1" applyAlignment="1">
      <alignment horizontal="center"/>
    </xf>
    <xf numFmtId="0" fontId="0" fillId="6" borderId="13" xfId="0" applyFill="1" applyBorder="1" applyAlignment="1">
      <alignment horizontal="center"/>
    </xf>
    <xf numFmtId="0" fontId="0" fillId="6" borderId="9" xfId="0" applyFill="1" applyBorder="1"/>
    <xf numFmtId="0" fontId="0" fillId="6" borderId="13" xfId="0" applyFill="1" applyBorder="1"/>
    <xf numFmtId="0" fontId="0" fillId="6" borderId="21" xfId="0" applyFill="1" applyBorder="1"/>
    <xf numFmtId="0" fontId="1" fillId="2" borderId="10" xfId="1" applyBorder="1"/>
    <xf numFmtId="0" fontId="2" fillId="3" borderId="14" xfId="2" applyBorder="1"/>
    <xf numFmtId="0" fontId="2" fillId="3" borderId="26" xfId="2" applyBorder="1"/>
    <xf numFmtId="0" fontId="2" fillId="3" borderId="27" xfId="2" applyBorder="1"/>
    <xf numFmtId="0" fontId="1" fillId="2" borderId="14" xfId="1" applyBorder="1"/>
    <xf numFmtId="0" fontId="0" fillId="5" borderId="14" xfId="0" applyFill="1" applyBorder="1"/>
    <xf numFmtId="0" fontId="0" fillId="5" borderId="15" xfId="0" applyFill="1" applyBorder="1"/>
    <xf numFmtId="0" fontId="1" fillId="2" borderId="23" xfId="1" applyBorder="1"/>
    <xf numFmtId="0" fontId="1" fillId="2" borderId="24" xfId="1" applyBorder="1"/>
    <xf numFmtId="0" fontId="1" fillId="2" borderId="25" xfId="1" applyBorder="1"/>
    <xf numFmtId="0" fontId="2" fillId="3" borderId="28" xfId="2" applyBorder="1"/>
    <xf numFmtId="0" fontId="0" fillId="4" borderId="30" xfId="0" applyFill="1" applyBorder="1"/>
    <xf numFmtId="0" fontId="2" fillId="3" borderId="31" xfId="2" applyBorder="1"/>
    <xf numFmtId="0" fontId="1" fillId="2" borderId="32" xfId="1" applyBorder="1"/>
    <xf numFmtId="0" fontId="0" fillId="5" borderId="32" xfId="0" applyFill="1" applyBorder="1"/>
    <xf numFmtId="0" fontId="0" fillId="5" borderId="33" xfId="0" applyFill="1" applyBorder="1"/>
    <xf numFmtId="0" fontId="0" fillId="4" borderId="32" xfId="0" applyFill="1" applyBorder="1"/>
    <xf numFmtId="0" fontId="0" fillId="4" borderId="33" xfId="0" applyFill="1" applyBorder="1"/>
    <xf numFmtId="0" fontId="0" fillId="4" borderId="34" xfId="0" applyFill="1" applyBorder="1"/>
    <xf numFmtId="0" fontId="0" fillId="4" borderId="36" xfId="0" applyFill="1" applyBorder="1"/>
    <xf numFmtId="0" fontId="0" fillId="4" borderId="35" xfId="0" applyFill="1" applyBorder="1"/>
    <xf numFmtId="0" fontId="5" fillId="0" borderId="2" xfId="0" applyFont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4" borderId="37" xfId="0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 vertical="top"/>
    </xf>
    <xf numFmtId="0" fontId="0" fillId="0" borderId="3" xfId="0" applyBorder="1" applyAlignment="1">
      <alignment horizontal="center" vertical="top"/>
    </xf>
    <xf numFmtId="0" fontId="0" fillId="0" borderId="5" xfId="0" applyBorder="1" applyAlignment="1">
      <alignment horizontal="center" vertical="top"/>
    </xf>
    <xf numFmtId="0" fontId="0" fillId="0" borderId="2" xfId="0" applyBorder="1" applyAlignment="1">
      <alignment horizontal="center" vertical="top" wrapText="1"/>
    </xf>
    <xf numFmtId="0" fontId="5" fillId="0" borderId="1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top"/>
    </xf>
    <xf numFmtId="0" fontId="0" fillId="0" borderId="7" xfId="0" applyBorder="1" applyAlignment="1">
      <alignment horizontal="center" vertical="top"/>
    </xf>
    <xf numFmtId="0" fontId="0" fillId="0" borderId="8" xfId="0" applyBorder="1" applyAlignment="1">
      <alignment horizontal="center" vertical="top"/>
    </xf>
    <xf numFmtId="0" fontId="5" fillId="0" borderId="3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2" fontId="4" fillId="5" borderId="35" xfId="0" applyNumberFormat="1" applyFont="1" applyFill="1" applyBorder="1"/>
    <xf numFmtId="2" fontId="4" fillId="4" borderId="35" xfId="0" applyNumberFormat="1" applyFont="1" applyFill="1" applyBorder="1"/>
    <xf numFmtId="2" fontId="4" fillId="5" borderId="20" xfId="0" applyNumberFormat="1" applyFont="1" applyFill="1" applyBorder="1"/>
    <xf numFmtId="2" fontId="4" fillId="4" borderId="20" xfId="0" applyNumberFormat="1" applyFont="1" applyFill="1" applyBorder="1"/>
    <xf numFmtId="2" fontId="4" fillId="5" borderId="15" xfId="0" applyNumberFormat="1" applyFont="1" applyFill="1" applyBorder="1"/>
    <xf numFmtId="2" fontId="4" fillId="4" borderId="15" xfId="0" applyNumberFormat="1" applyFont="1" applyFill="1" applyBorder="1"/>
    <xf numFmtId="0" fontId="0" fillId="7" borderId="0" xfId="0" applyFill="1"/>
    <xf numFmtId="2" fontId="4" fillId="5" borderId="38" xfId="0" applyNumberFormat="1" applyFont="1" applyFill="1" applyBorder="1" applyAlignment="1">
      <alignment horizontal="center" vertical="center"/>
    </xf>
    <xf numFmtId="2" fontId="4" fillId="5" borderId="28" xfId="0" applyNumberFormat="1" applyFont="1" applyFill="1" applyBorder="1" applyAlignment="1">
      <alignment horizontal="center" vertical="center"/>
    </xf>
    <xf numFmtId="2" fontId="4" fillId="4" borderId="38" xfId="0" applyNumberFormat="1" applyFont="1" applyFill="1" applyBorder="1" applyAlignment="1">
      <alignment horizontal="center" vertical="center"/>
    </xf>
    <xf numFmtId="2" fontId="4" fillId="4" borderId="28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4" xfId="0" applyBorder="1" applyAlignment="1">
      <alignment horizontal="left" vertical="center" wrapText="1"/>
    </xf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AE7D3-E5AC-413A-9E5B-A04FBC298446}">
  <dimension ref="A8:AL46"/>
  <sheetViews>
    <sheetView tabSelected="1" topLeftCell="A5" zoomScaleNormal="100" workbookViewId="0">
      <selection activeCell="F36" sqref="F36"/>
    </sheetView>
  </sheetViews>
  <sheetFormatPr defaultRowHeight="14.5" x14ac:dyDescent="0.35"/>
  <cols>
    <col min="2" max="2" width="6.36328125" customWidth="1"/>
    <col min="3" max="3" width="19" customWidth="1"/>
    <col min="8" max="8" width="16.81640625" bestFit="1" customWidth="1"/>
    <col min="18" max="18" width="9.90625" bestFit="1" customWidth="1"/>
    <col min="19" max="19" width="11.453125" bestFit="1" customWidth="1"/>
  </cols>
  <sheetData>
    <row r="8" spans="1:38" ht="15" thickBot="1" x14ac:dyDescent="0.4"/>
    <row r="9" spans="1:38" x14ac:dyDescent="0.35">
      <c r="A9" s="74"/>
      <c r="B9" s="74"/>
      <c r="C9" s="74"/>
      <c r="D9" s="74"/>
      <c r="E9" s="74"/>
      <c r="F9" s="74"/>
      <c r="G9" s="74"/>
      <c r="H9" s="74"/>
      <c r="I9" s="74"/>
      <c r="J9" s="74"/>
      <c r="K9" s="74"/>
      <c r="L9" s="74"/>
      <c r="M9" s="74"/>
      <c r="N9" s="74"/>
      <c r="O9" s="74"/>
      <c r="P9" s="74"/>
      <c r="Q9" s="74"/>
      <c r="R9" s="74"/>
      <c r="S9" s="74"/>
      <c r="AA9" s="1" t="s">
        <v>41</v>
      </c>
      <c r="AB9" s="2"/>
      <c r="AC9" s="2"/>
      <c r="AD9" s="2"/>
      <c r="AE9" s="2"/>
      <c r="AF9" s="3"/>
      <c r="AG9" s="1" t="s">
        <v>42</v>
      </c>
      <c r="AH9" s="2"/>
      <c r="AI9" s="2"/>
      <c r="AJ9" s="2"/>
      <c r="AK9" s="2"/>
      <c r="AL9" s="3"/>
    </row>
    <row r="10" spans="1:38" ht="15" thickBot="1" x14ac:dyDescent="0.4">
      <c r="A10" s="74"/>
      <c r="B10" s="74"/>
      <c r="C10" s="74"/>
      <c r="D10" s="74"/>
      <c r="E10" s="74"/>
      <c r="F10" s="74"/>
      <c r="G10" s="74"/>
      <c r="H10" s="74"/>
      <c r="I10" s="74"/>
      <c r="J10" s="74"/>
      <c r="K10" s="74"/>
      <c r="L10" s="74"/>
      <c r="M10" s="74"/>
      <c r="N10" s="74"/>
      <c r="O10" s="74"/>
      <c r="P10" s="74"/>
      <c r="Q10" s="74"/>
      <c r="R10" s="74"/>
      <c r="S10" s="74"/>
      <c r="V10" t="s">
        <v>29</v>
      </c>
      <c r="W10" t="s">
        <v>28</v>
      </c>
      <c r="X10" t="s">
        <v>30</v>
      </c>
      <c r="Y10" t="s">
        <v>31</v>
      </c>
      <c r="AA10" s="4" t="s">
        <v>22</v>
      </c>
      <c r="AB10" s="5"/>
      <c r="AC10" s="5" t="s">
        <v>23</v>
      </c>
      <c r="AD10" s="5"/>
      <c r="AE10" s="5" t="s">
        <v>24</v>
      </c>
      <c r="AF10" s="6"/>
      <c r="AG10" s="4" t="s">
        <v>22</v>
      </c>
      <c r="AH10" s="5"/>
      <c r="AI10" s="5" t="s">
        <v>23</v>
      </c>
      <c r="AJ10" s="5"/>
      <c r="AK10" s="5" t="s">
        <v>24</v>
      </c>
      <c r="AL10" s="6"/>
    </row>
    <row r="11" spans="1:38" ht="15" thickBot="1" x14ac:dyDescent="0.4">
      <c r="A11" s="74"/>
      <c r="B11" s="18" t="s">
        <v>10</v>
      </c>
      <c r="C11" s="19" t="s">
        <v>3</v>
      </c>
      <c r="D11" s="18" t="s">
        <v>4</v>
      </c>
      <c r="E11" s="20" t="s">
        <v>5</v>
      </c>
      <c r="F11" s="21"/>
      <c r="G11" s="18" t="s">
        <v>6</v>
      </c>
      <c r="H11" s="20" t="s">
        <v>5</v>
      </c>
      <c r="I11" s="21"/>
      <c r="J11" s="22" t="s">
        <v>7</v>
      </c>
      <c r="K11" s="18" t="s">
        <v>8</v>
      </c>
      <c r="L11" s="23" t="s">
        <v>9</v>
      </c>
      <c r="M11" s="18" t="s">
        <v>22</v>
      </c>
      <c r="N11" s="23" t="s">
        <v>19</v>
      </c>
      <c r="O11" s="18" t="s">
        <v>23</v>
      </c>
      <c r="P11" s="23" t="s">
        <v>19</v>
      </c>
      <c r="Q11" s="24" t="s">
        <v>24</v>
      </c>
      <c r="R11" s="23" t="s">
        <v>19</v>
      </c>
      <c r="S11" s="74"/>
      <c r="U11" t="s">
        <v>19</v>
      </c>
      <c r="V11" t="str">
        <f>C40</f>
        <v>Ib</v>
      </c>
      <c r="W11" t="str">
        <f>C41</f>
        <v>P</v>
      </c>
      <c r="X11" t="str">
        <f>C42</f>
        <v>S</v>
      </c>
      <c r="Y11" t="str">
        <f>C43</f>
        <v>Q</v>
      </c>
      <c r="Z11" t="s">
        <v>34</v>
      </c>
      <c r="AA11" s="7" t="s">
        <v>37</v>
      </c>
      <c r="AB11" s="8" t="s">
        <v>38</v>
      </c>
      <c r="AC11" s="8" t="s">
        <v>37</v>
      </c>
      <c r="AD11" s="8" t="s">
        <v>38</v>
      </c>
      <c r="AE11" s="8" t="s">
        <v>37</v>
      </c>
      <c r="AF11" s="9" t="s">
        <v>38</v>
      </c>
      <c r="AG11" s="7" t="s">
        <v>37</v>
      </c>
      <c r="AH11" s="8" t="s">
        <v>38</v>
      </c>
      <c r="AI11" s="8" t="s">
        <v>37</v>
      </c>
      <c r="AJ11" s="8" t="s">
        <v>38</v>
      </c>
      <c r="AK11" s="8" t="s">
        <v>37</v>
      </c>
      <c r="AL11" s="9" t="s">
        <v>38</v>
      </c>
    </row>
    <row r="12" spans="1:38" x14ac:dyDescent="0.35">
      <c r="A12" s="74"/>
      <c r="B12" s="10">
        <v>1</v>
      </c>
      <c r="C12" s="32" t="s">
        <v>44</v>
      </c>
      <c r="D12" s="26" t="s">
        <v>11</v>
      </c>
      <c r="E12" s="25">
        <v>100</v>
      </c>
      <c r="F12" s="12" t="str">
        <f>VLOOKUP(D12,$C$39:$D$43,2,FALSE)</f>
        <v>A</v>
      </c>
      <c r="G12" s="26" t="s">
        <v>18</v>
      </c>
      <c r="H12" s="25">
        <v>0.9</v>
      </c>
      <c r="I12" s="12" t="str">
        <f>VLOOKUP(G12,$F$39:$G$41,2,FALSE)</f>
        <v xml:space="preserve"> </v>
      </c>
      <c r="J12" s="27" t="s">
        <v>21</v>
      </c>
      <c r="K12" s="29">
        <v>1.2</v>
      </c>
      <c r="L12" s="29">
        <v>1</v>
      </c>
      <c r="M12" s="30">
        <f>IF(VLOOKUP(J12,$J$39:$N$46,3,0)=$M$11,Z12,0)</f>
        <v>100</v>
      </c>
      <c r="N12" s="31">
        <f>IF(NOT(M12=0),(U12+VLOOKUP(J12,$J$39:$Q$46,6,0)),0)</f>
        <v>-25.841932763167126</v>
      </c>
      <c r="O12" s="10">
        <f>IF(VLOOKUP(J12,$J$39:$N$46,4,0)=$O$11,Z12,0)</f>
        <v>100</v>
      </c>
      <c r="P12" s="12">
        <f>IF(NOT(O12=0),(U12+VLOOKUP(J12,$J$39:$Q$46,7,0)),0)</f>
        <v>-25.841932763167126</v>
      </c>
      <c r="Q12" s="30">
        <f>IF(VLOOKUP(J12,$J$39:$N$46,5,0)=$Q$11,Z12,0)</f>
        <v>100</v>
      </c>
      <c r="R12" s="31">
        <f>IF(NOT(Q12=0),(U12+VLOOKUP(J12,$J$39:$Q$46,8,0)),0)</f>
        <v>-25.841932763167126</v>
      </c>
      <c r="S12" s="74"/>
      <c r="U12">
        <f>IF(G12=$F$40,-DEGREES(ACOS(H12)),H12)</f>
        <v>-25.841932763167126</v>
      </c>
      <c r="V12">
        <f>E12</f>
        <v>100</v>
      </c>
      <c r="W12">
        <f>E12*1000/($D$29*VLOOKUP(J12,$J$40:$K$46,2,FALSE)*COS(RADIANS(U12)))</f>
        <v>160.37507477489604</v>
      </c>
      <c r="X12">
        <f>E12*1000/($D$29*VLOOKUP(J12,$J$40:$K$46,2,FALSE))</f>
        <v>144.33756729740645</v>
      </c>
      <c r="Y12">
        <f>E12*1000/($D$29*VLOOKUP(J12,$J$40:$K$46,2,FALSE)*SIN(RADIANS(U12)))</f>
        <v>-331.13308926626104</v>
      </c>
      <c r="Z12">
        <f>HLOOKUP(D12,$V$11:$Y$26,B12+1,FALSE)</f>
        <v>100</v>
      </c>
      <c r="AA12">
        <f>IF(M12&gt;0,M12*COS(RADIANS(N12)),0)</f>
        <v>90</v>
      </c>
      <c r="AB12">
        <f>IF(M12&gt;0,M12*SIN(RADIANS(N12)),0)</f>
        <v>-43.588989435406731</v>
      </c>
      <c r="AC12">
        <f>IF(O12&gt;0,O12*COS(RADIANS(P12)),0)</f>
        <v>90</v>
      </c>
      <c r="AD12">
        <f>IF(O12&gt;0,O12*SIN(RADIANS(P12)),0)</f>
        <v>-43.588989435406731</v>
      </c>
      <c r="AE12">
        <f>IF(Q12&gt;0,Q12*COS(RADIANS(R12)),0)</f>
        <v>90</v>
      </c>
      <c r="AF12">
        <f>IF(Q12&gt;0,Q12*SIN(RADIANS(R12)),0)</f>
        <v>-43.588989435406731</v>
      </c>
      <c r="AG12">
        <f>IF(AA12=0,0,AA12*$K12*$L12)</f>
        <v>108</v>
      </c>
      <c r="AH12">
        <f t="shared" ref="AH12:AL12" si="0">IF(AB12=0,0,AB12*$K12*$L12)</f>
        <v>-52.306787322488077</v>
      </c>
      <c r="AI12">
        <f t="shared" si="0"/>
        <v>108</v>
      </c>
      <c r="AJ12">
        <f t="shared" si="0"/>
        <v>-52.306787322488077</v>
      </c>
      <c r="AK12">
        <f t="shared" si="0"/>
        <v>108</v>
      </c>
      <c r="AL12">
        <f t="shared" si="0"/>
        <v>-52.306787322488077</v>
      </c>
    </row>
    <row r="13" spans="1:38" x14ac:dyDescent="0.35">
      <c r="A13" s="74"/>
      <c r="B13" s="13">
        <v>2</v>
      </c>
      <c r="C13" s="33" t="s">
        <v>45</v>
      </c>
      <c r="D13" s="26" t="s">
        <v>11</v>
      </c>
      <c r="E13" s="25">
        <v>160</v>
      </c>
      <c r="F13" s="14" t="str">
        <f>VLOOKUP(D13,$C$39:$D$43,2,FALSE)</f>
        <v>A</v>
      </c>
      <c r="G13" s="26" t="s">
        <v>18</v>
      </c>
      <c r="H13" s="25">
        <v>0.89</v>
      </c>
      <c r="I13" s="14" t="str">
        <f t="shared" ref="I13:I26" si="1">VLOOKUP(G13,$F$39:$G$41,2,FALSE)</f>
        <v xml:space="preserve"> </v>
      </c>
      <c r="J13" s="28" t="s">
        <v>21</v>
      </c>
      <c r="K13" s="29">
        <v>1</v>
      </c>
      <c r="L13" s="29">
        <v>1</v>
      </c>
      <c r="M13" s="30">
        <f t="shared" ref="M13:M26" si="2">IF(VLOOKUP(J13,$J$39:$N$46,3,0)=$M$11,Z13,0)</f>
        <v>160</v>
      </c>
      <c r="N13" s="31">
        <f>IF(NOT(M13=0),(U13+VLOOKUP(J13,$J$39:$Q$46,6,0)),0)</f>
        <v>-27.12675311727396</v>
      </c>
      <c r="O13" s="10">
        <f t="shared" ref="O13:O26" si="3">IF(VLOOKUP(J13,$J$39:$N$46,4,0)=$O$11,Z13,0)</f>
        <v>160</v>
      </c>
      <c r="P13" s="12">
        <f>IF(NOT(O13=0),(U13+VLOOKUP(J13,$J$39:$Q$46,7,0)),0)</f>
        <v>-27.12675311727396</v>
      </c>
      <c r="Q13" s="30">
        <f t="shared" ref="Q13:Q26" si="4">IF(VLOOKUP(J13,$J$39:$N$46,5,0)=$Q$11,Z13,0)</f>
        <v>160</v>
      </c>
      <c r="R13" s="31">
        <f t="shared" ref="R13:R26" si="5">IF(NOT(Q13=0),(U13+VLOOKUP(J13,$J$39:$Q$46,8,0)),0)</f>
        <v>-27.12675311727396</v>
      </c>
      <c r="S13" s="74"/>
      <c r="U13">
        <f t="shared" ref="U13:U26" si="6">IF(G13=$F$40,-DEGREES(ACOS(H13)),H13)</f>
        <v>-27.12675311727396</v>
      </c>
      <c r="V13">
        <f t="shared" ref="V13:V26" si="7">E13</f>
        <v>160</v>
      </c>
      <c r="W13">
        <f>E13*1000/($D$29*VLOOKUP(J13,$J$40:$K$46,2,FALSE)*COS(RADIANS(U13)))</f>
        <v>259.4832670515172</v>
      </c>
      <c r="X13">
        <f>E13*1000/($D$29*VLOOKUP(J13,$J$40:$K$46,2,FALSE))</f>
        <v>230.9401076758503</v>
      </c>
      <c r="Y13">
        <f>E13*1000/($D$29*VLOOKUP(J13,$J$40:$K$46,2,FALSE)*SIN(RADIANS(U13)))</f>
        <v>-506.49145093172439</v>
      </c>
      <c r="Z13">
        <f>HLOOKUP(D13,$V$11:$Y$26,B13+1,FALSE)</f>
        <v>160</v>
      </c>
      <c r="AA13">
        <f>IF(M13&gt;0,M13*COS(RADIANS(N13)),0)</f>
        <v>142.4</v>
      </c>
      <c r="AB13">
        <f>IF(M13&gt;0,M13*SIN(RADIANS(N13)),0)</f>
        <v>-72.953683937139161</v>
      </c>
      <c r="AC13">
        <f>IF(O13&gt;0,O13*COS(RADIANS(P13)),0)</f>
        <v>142.4</v>
      </c>
      <c r="AD13">
        <f>IF(O13&gt;0,O13*SIN(RADIANS(P13)),0)</f>
        <v>-72.953683937139161</v>
      </c>
      <c r="AE13">
        <f>IF(Q13&gt;0,Q13*COS(RADIANS(R13)),0)</f>
        <v>142.4</v>
      </c>
      <c r="AF13">
        <f>IF(Q13&gt;0,Q13*SIN(RADIANS(R13)),0)</f>
        <v>-72.953683937139161</v>
      </c>
      <c r="AG13">
        <f t="shared" ref="AG13:AG26" si="8">IF(AA13=0,0,AA13*$K13*$L13)</f>
        <v>142.4</v>
      </c>
      <c r="AH13">
        <f t="shared" ref="AH13:AH26" si="9">IF(AB13=0,0,AB13*$K13*$L13)</f>
        <v>-72.953683937139161</v>
      </c>
      <c r="AI13">
        <f t="shared" ref="AI13:AI26" si="10">IF(AC13=0,0,AC13*$K13*$L13)</f>
        <v>142.4</v>
      </c>
      <c r="AJ13">
        <f t="shared" ref="AJ13:AJ26" si="11">IF(AD13=0,0,AD13*$K13*$L13)</f>
        <v>-72.953683937139161</v>
      </c>
      <c r="AK13">
        <f t="shared" ref="AK13:AK26" si="12">IF(AE13=0,0,AE13*$K13*$L13)</f>
        <v>142.4</v>
      </c>
      <c r="AL13">
        <f t="shared" ref="AL13:AL26" si="13">IF(AF13=0,0,AF13*$K13*$L13)</f>
        <v>-72.953683937139161</v>
      </c>
    </row>
    <row r="14" spans="1:38" x14ac:dyDescent="0.35">
      <c r="A14" s="74"/>
      <c r="B14" s="13">
        <v>3</v>
      </c>
      <c r="C14" s="33" t="s">
        <v>45</v>
      </c>
      <c r="D14" s="26" t="s">
        <v>11</v>
      </c>
      <c r="E14" s="25">
        <v>160</v>
      </c>
      <c r="F14" s="14" t="str">
        <f>VLOOKUP(D14,$C$39:$D$43,2,FALSE)</f>
        <v>A</v>
      </c>
      <c r="G14" s="26" t="s">
        <v>18</v>
      </c>
      <c r="H14" s="25">
        <v>0.89</v>
      </c>
      <c r="I14" s="14" t="str">
        <f t="shared" si="1"/>
        <v xml:space="preserve"> </v>
      </c>
      <c r="J14" s="28" t="s">
        <v>21</v>
      </c>
      <c r="K14" s="29">
        <v>1</v>
      </c>
      <c r="L14" s="29">
        <v>1</v>
      </c>
      <c r="M14" s="30">
        <f t="shared" si="2"/>
        <v>160</v>
      </c>
      <c r="N14" s="31">
        <f t="shared" ref="N14:N26" si="14">IF(NOT(M14=0),(U14+VLOOKUP(J14,$J$39:$Q$46,6,0)),0)</f>
        <v>-27.12675311727396</v>
      </c>
      <c r="O14" s="10">
        <f t="shared" si="3"/>
        <v>160</v>
      </c>
      <c r="P14" s="12">
        <f t="shared" ref="P14:P26" si="15">IF(NOT(O14=0),(U14+VLOOKUP(J14,$J$39:$Q$46,7,0)),0)</f>
        <v>-27.12675311727396</v>
      </c>
      <c r="Q14" s="30">
        <f t="shared" si="4"/>
        <v>160</v>
      </c>
      <c r="R14" s="31">
        <f t="shared" si="5"/>
        <v>-27.12675311727396</v>
      </c>
      <c r="S14" s="74"/>
      <c r="U14">
        <f t="shared" si="6"/>
        <v>-27.12675311727396</v>
      </c>
      <c r="V14">
        <f t="shared" si="7"/>
        <v>160</v>
      </c>
      <c r="W14">
        <f>E14*1000/($D$29*VLOOKUP(J14,$J$40:$K$46,2,FALSE)*COS(RADIANS(U14)))</f>
        <v>259.4832670515172</v>
      </c>
      <c r="X14">
        <f>E14*1000/($D$29*VLOOKUP(J14,$J$40:$K$46,2,FALSE))</f>
        <v>230.9401076758503</v>
      </c>
      <c r="Y14">
        <f>E14*1000/($D$29*VLOOKUP(J14,$J$40:$K$46,2,FALSE)*SIN(RADIANS(U14)))</f>
        <v>-506.49145093172439</v>
      </c>
      <c r="Z14">
        <f t="shared" ref="Z14:Z26" si="16">HLOOKUP(D14,$V$11:$Y$26,B14+1,FALSE)</f>
        <v>160</v>
      </c>
      <c r="AA14">
        <f>IF(M14&gt;0,M14*COS(RADIANS(N14)),0)</f>
        <v>142.4</v>
      </c>
      <c r="AB14">
        <f>IF(M14&gt;0,M14*SIN(RADIANS(N14)),0)</f>
        <v>-72.953683937139161</v>
      </c>
      <c r="AC14">
        <f>IF(O14&gt;0,O14*COS(RADIANS(P14)),0)</f>
        <v>142.4</v>
      </c>
      <c r="AD14">
        <f>IF(O14&gt;0,O14*SIN(RADIANS(P14)),0)</f>
        <v>-72.953683937139161</v>
      </c>
      <c r="AE14">
        <f>IF(Q14&gt;0,Q14*COS(RADIANS(R14)),0)</f>
        <v>142.4</v>
      </c>
      <c r="AF14">
        <f>IF(Q14&gt;0,Q14*SIN(RADIANS(R14)),0)</f>
        <v>-72.953683937139161</v>
      </c>
      <c r="AG14">
        <f t="shared" si="8"/>
        <v>142.4</v>
      </c>
      <c r="AH14">
        <f t="shared" si="9"/>
        <v>-72.953683937139161</v>
      </c>
      <c r="AI14">
        <f t="shared" si="10"/>
        <v>142.4</v>
      </c>
      <c r="AJ14">
        <f t="shared" si="11"/>
        <v>-72.953683937139161</v>
      </c>
      <c r="AK14">
        <f t="shared" si="12"/>
        <v>142.4</v>
      </c>
      <c r="AL14">
        <f t="shared" si="13"/>
        <v>-72.953683937139161</v>
      </c>
    </row>
    <row r="15" spans="1:38" x14ac:dyDescent="0.35">
      <c r="A15" s="74"/>
      <c r="B15" s="13">
        <v>4</v>
      </c>
      <c r="C15" s="33" t="s">
        <v>46</v>
      </c>
      <c r="D15" s="26" t="s">
        <v>0</v>
      </c>
      <c r="E15" s="25">
        <v>10</v>
      </c>
      <c r="F15" s="14" t="str">
        <f>VLOOKUP(D15,$C$39:$D$43,2,FALSE)</f>
        <v>kW</v>
      </c>
      <c r="G15" s="26" t="s">
        <v>18</v>
      </c>
      <c r="H15" s="25">
        <v>1</v>
      </c>
      <c r="I15" s="14" t="str">
        <f t="shared" si="1"/>
        <v xml:space="preserve"> </v>
      </c>
      <c r="J15" s="28" t="s">
        <v>25</v>
      </c>
      <c r="K15" s="29">
        <v>1</v>
      </c>
      <c r="L15" s="29">
        <v>1</v>
      </c>
      <c r="M15" s="30">
        <f t="shared" si="2"/>
        <v>25</v>
      </c>
      <c r="N15" s="31">
        <f t="shared" si="14"/>
        <v>30</v>
      </c>
      <c r="O15" s="10">
        <f t="shared" si="3"/>
        <v>25</v>
      </c>
      <c r="P15" s="12">
        <f t="shared" si="15"/>
        <v>-30</v>
      </c>
      <c r="Q15" s="30">
        <f t="shared" si="4"/>
        <v>0</v>
      </c>
      <c r="R15" s="31">
        <f t="shared" si="5"/>
        <v>0</v>
      </c>
      <c r="S15" s="74"/>
      <c r="U15">
        <f t="shared" si="6"/>
        <v>0</v>
      </c>
      <c r="V15">
        <f t="shared" si="7"/>
        <v>10</v>
      </c>
      <c r="W15">
        <f>E15*1000/($D$29*VLOOKUP(J15,$J$40:$K$46,2,FALSE)*COS(RADIANS(U15)))</f>
        <v>25</v>
      </c>
      <c r="X15">
        <f>E15*1000/($D$29*VLOOKUP(J15,$J$40:$K$46,2,FALSE))</f>
        <v>25</v>
      </c>
      <c r="Y15" t="e">
        <f>E15*1000/($D$29*VLOOKUP(J15,$J$40:$K$46,2,FALSE)*SIN(RADIANS(U15)))</f>
        <v>#DIV/0!</v>
      </c>
      <c r="Z15">
        <f t="shared" si="16"/>
        <v>25</v>
      </c>
      <c r="AA15">
        <f>IF(M15&gt;0,M15*COS(RADIANS(N15)),0)</f>
        <v>21.650635094610969</v>
      </c>
      <c r="AB15">
        <f>IF(M15&gt;0,M15*SIN(RADIANS(N15)),0)</f>
        <v>12.499999999999998</v>
      </c>
      <c r="AC15">
        <f>IF(O15&gt;0,O15*COS(RADIANS(P15)),0)</f>
        <v>21.650635094610969</v>
      </c>
      <c r="AD15">
        <f>IF(O15&gt;0,O15*SIN(RADIANS(P15)),0)</f>
        <v>-12.499999999999998</v>
      </c>
      <c r="AE15">
        <f>IF(Q15&gt;0,Q15*COS(RADIANS(R15)),0)</f>
        <v>0</v>
      </c>
      <c r="AF15">
        <f>IF(Q15&gt;0,Q15*SIN(RADIANS(R15)),0)</f>
        <v>0</v>
      </c>
      <c r="AG15">
        <f t="shared" si="8"/>
        <v>21.650635094610969</v>
      </c>
      <c r="AH15">
        <f t="shared" si="9"/>
        <v>12.499999999999998</v>
      </c>
      <c r="AI15">
        <f t="shared" si="10"/>
        <v>21.650635094610969</v>
      </c>
      <c r="AJ15">
        <f t="shared" si="11"/>
        <v>-12.499999999999998</v>
      </c>
      <c r="AK15">
        <f t="shared" si="12"/>
        <v>0</v>
      </c>
      <c r="AL15">
        <f t="shared" si="13"/>
        <v>0</v>
      </c>
    </row>
    <row r="16" spans="1:38" x14ac:dyDescent="0.35">
      <c r="A16" s="74"/>
      <c r="B16" s="13">
        <v>5</v>
      </c>
      <c r="C16" s="33" t="s">
        <v>47</v>
      </c>
      <c r="D16" s="26" t="s">
        <v>11</v>
      </c>
      <c r="E16" s="25">
        <v>30</v>
      </c>
      <c r="F16" s="14" t="str">
        <f>VLOOKUP(D16,$C$39:$D$43,2,FALSE)</f>
        <v>A</v>
      </c>
      <c r="G16" s="26" t="s">
        <v>19</v>
      </c>
      <c r="H16" s="25">
        <v>-35</v>
      </c>
      <c r="I16" s="14" t="str">
        <f t="shared" si="1"/>
        <v>Grader</v>
      </c>
      <c r="J16" s="28" t="s">
        <v>24</v>
      </c>
      <c r="K16" s="29">
        <v>1</v>
      </c>
      <c r="L16" s="29">
        <v>0.7</v>
      </c>
      <c r="M16" s="30">
        <f t="shared" si="2"/>
        <v>0</v>
      </c>
      <c r="N16" s="31">
        <f t="shared" si="14"/>
        <v>0</v>
      </c>
      <c r="O16" s="10">
        <f t="shared" si="3"/>
        <v>0</v>
      </c>
      <c r="P16" s="12">
        <f t="shared" si="15"/>
        <v>0</v>
      </c>
      <c r="Q16" s="30">
        <f t="shared" si="4"/>
        <v>30</v>
      </c>
      <c r="R16" s="31">
        <f t="shared" si="5"/>
        <v>-35</v>
      </c>
      <c r="S16" s="74"/>
      <c r="U16">
        <f t="shared" si="6"/>
        <v>-35</v>
      </c>
      <c r="V16">
        <f t="shared" si="7"/>
        <v>30</v>
      </c>
      <c r="W16">
        <f>E16*1000/($D$29*VLOOKUP(J16,$J$40:$K$46,2,FALSE)*COS(RADIANS(U16)))</f>
        <v>158.58327092428829</v>
      </c>
      <c r="X16">
        <f>E16*1000/($D$29*VLOOKUP(J16,$J$40:$K$46,2,FALSE))</f>
        <v>129.90381056766577</v>
      </c>
      <c r="Y16">
        <f>E16*1000/($D$29*VLOOKUP(J16,$J$40:$K$46,2,FALSE)*SIN(RADIANS(U16)))</f>
        <v>-226.48038227316704</v>
      </c>
      <c r="Z16">
        <f t="shared" si="16"/>
        <v>30</v>
      </c>
      <c r="AA16">
        <f>IF(M16&gt;0,M16*COS(RADIANS(N16)),0)</f>
        <v>0</v>
      </c>
      <c r="AB16">
        <f>IF(M16&gt;0,M16*SIN(RADIANS(N16)),0)</f>
        <v>0</v>
      </c>
      <c r="AC16">
        <f>IF(O16&gt;0,O16*COS(RADIANS(P16)),0)</f>
        <v>0</v>
      </c>
      <c r="AD16">
        <f>IF(O16&gt;0,O16*SIN(RADIANS(P16)),0)</f>
        <v>0</v>
      </c>
      <c r="AE16">
        <f>IF(Q16&gt;0,Q16*COS(RADIANS(R16)),0)</f>
        <v>24.574561328669756</v>
      </c>
      <c r="AF16">
        <f>IF(Q16&gt;0,Q16*SIN(RADIANS(R16)),0)</f>
        <v>-17.20729309053138</v>
      </c>
      <c r="AG16">
        <f t="shared" si="8"/>
        <v>0</v>
      </c>
      <c r="AH16">
        <f t="shared" si="9"/>
        <v>0</v>
      </c>
      <c r="AI16">
        <f t="shared" si="10"/>
        <v>0</v>
      </c>
      <c r="AJ16">
        <f t="shared" si="11"/>
        <v>0</v>
      </c>
      <c r="AK16">
        <f t="shared" si="12"/>
        <v>17.202192930068829</v>
      </c>
      <c r="AL16">
        <f t="shared" si="13"/>
        <v>-12.045105163371964</v>
      </c>
    </row>
    <row r="17" spans="1:38" x14ac:dyDescent="0.35">
      <c r="A17" s="74"/>
      <c r="B17" s="13">
        <v>6</v>
      </c>
      <c r="C17" s="33"/>
      <c r="D17" s="26" t="s">
        <v>16</v>
      </c>
      <c r="E17" s="25">
        <v>0</v>
      </c>
      <c r="F17" s="14" t="str">
        <f>VLOOKUP(D17,$C$39:$D$43,2,FALSE)</f>
        <v xml:space="preserve"> </v>
      </c>
      <c r="G17" s="26" t="s">
        <v>16</v>
      </c>
      <c r="H17" s="25">
        <v>0</v>
      </c>
      <c r="I17" s="14" t="str">
        <f t="shared" si="1"/>
        <v xml:space="preserve"> </v>
      </c>
      <c r="J17" s="28" t="s">
        <v>16</v>
      </c>
      <c r="K17" s="29">
        <v>1</v>
      </c>
      <c r="L17" s="29">
        <v>1</v>
      </c>
      <c r="M17" s="30">
        <f t="shared" si="2"/>
        <v>0</v>
      </c>
      <c r="N17" s="31">
        <f t="shared" si="14"/>
        <v>0</v>
      </c>
      <c r="O17" s="10">
        <f t="shared" si="3"/>
        <v>0</v>
      </c>
      <c r="P17" s="12">
        <f t="shared" si="15"/>
        <v>0</v>
      </c>
      <c r="Q17" s="30">
        <f t="shared" si="4"/>
        <v>0</v>
      </c>
      <c r="R17" s="31">
        <f t="shared" si="5"/>
        <v>0</v>
      </c>
      <c r="S17" s="74"/>
      <c r="U17">
        <f t="shared" si="6"/>
        <v>0</v>
      </c>
      <c r="V17">
        <f t="shared" si="7"/>
        <v>0</v>
      </c>
      <c r="W17" t="e">
        <f>E17*1000/($D$29*VLOOKUP(J17,$J$40:$K$46,2,FALSE)*COS(RADIANS(U17)))</f>
        <v>#N/A</v>
      </c>
      <c r="X17" t="e">
        <f>E17*1000/($D$29*VLOOKUP(J17,$J$40:$K$46,2,FALSE))</f>
        <v>#N/A</v>
      </c>
      <c r="Y17" t="e">
        <f>E17*1000/($D$29*VLOOKUP(J17,$J$40:$K$46,2,FALSE)*SIN(RADIANS(U17)))</f>
        <v>#N/A</v>
      </c>
      <c r="Z17" t="e">
        <f t="shared" si="16"/>
        <v>#N/A</v>
      </c>
      <c r="AA17">
        <f>IF(M17&gt;0,M17*COS(RADIANS(N17)),0)</f>
        <v>0</v>
      </c>
      <c r="AB17">
        <f>IF(M17&gt;0,M17*SIN(RADIANS(N17)),0)</f>
        <v>0</v>
      </c>
      <c r="AC17">
        <f>IF(O17&gt;0,O17*COS(RADIANS(P17)),0)</f>
        <v>0</v>
      </c>
      <c r="AD17">
        <f>IF(O17&gt;0,O17*SIN(RADIANS(P17)),0)</f>
        <v>0</v>
      </c>
      <c r="AE17">
        <f>IF(Q17&gt;0,Q17*COS(RADIANS(R17)),0)</f>
        <v>0</v>
      </c>
      <c r="AF17">
        <f>IF(Q17&gt;0,Q17*SIN(RADIANS(R17)),0)</f>
        <v>0</v>
      </c>
      <c r="AG17">
        <f t="shared" si="8"/>
        <v>0</v>
      </c>
      <c r="AH17">
        <f t="shared" si="9"/>
        <v>0</v>
      </c>
      <c r="AI17">
        <f t="shared" si="10"/>
        <v>0</v>
      </c>
      <c r="AJ17">
        <f t="shared" si="11"/>
        <v>0</v>
      </c>
      <c r="AK17">
        <f t="shared" si="12"/>
        <v>0</v>
      </c>
      <c r="AL17">
        <f t="shared" si="13"/>
        <v>0</v>
      </c>
    </row>
    <row r="18" spans="1:38" x14ac:dyDescent="0.35">
      <c r="A18" s="74"/>
      <c r="B18" s="13">
        <v>7</v>
      </c>
      <c r="C18" s="33"/>
      <c r="D18" s="26" t="s">
        <v>16</v>
      </c>
      <c r="E18" s="25">
        <v>0</v>
      </c>
      <c r="F18" s="14" t="str">
        <f>VLOOKUP(D18,$C$39:$D$43,2,FALSE)</f>
        <v xml:space="preserve"> </v>
      </c>
      <c r="G18" s="26" t="s">
        <v>16</v>
      </c>
      <c r="H18" s="25">
        <v>0</v>
      </c>
      <c r="I18" s="14" t="str">
        <f t="shared" si="1"/>
        <v xml:space="preserve"> </v>
      </c>
      <c r="J18" s="28" t="s">
        <v>16</v>
      </c>
      <c r="K18" s="29">
        <v>1</v>
      </c>
      <c r="L18" s="29">
        <v>1</v>
      </c>
      <c r="M18" s="30">
        <f t="shared" si="2"/>
        <v>0</v>
      </c>
      <c r="N18" s="31">
        <f t="shared" si="14"/>
        <v>0</v>
      </c>
      <c r="O18" s="10">
        <f t="shared" si="3"/>
        <v>0</v>
      </c>
      <c r="P18" s="12">
        <f t="shared" si="15"/>
        <v>0</v>
      </c>
      <c r="Q18" s="30">
        <f t="shared" si="4"/>
        <v>0</v>
      </c>
      <c r="R18" s="31">
        <f t="shared" si="5"/>
        <v>0</v>
      </c>
      <c r="S18" s="74"/>
      <c r="U18">
        <f t="shared" si="6"/>
        <v>0</v>
      </c>
      <c r="V18">
        <f t="shared" si="7"/>
        <v>0</v>
      </c>
      <c r="W18" t="e">
        <f>E18*1000/($D$29*VLOOKUP(J18,$J$40:$K$46,2,FALSE)*COS(RADIANS(U18)))</f>
        <v>#N/A</v>
      </c>
      <c r="X18" t="e">
        <f>E18*1000/($D$29*VLOOKUP(J18,$J$40:$K$46,2,FALSE))</f>
        <v>#N/A</v>
      </c>
      <c r="Y18" t="e">
        <f>E18*1000/($D$29*VLOOKUP(J18,$J$40:$K$46,2,FALSE)*SIN(RADIANS(U18)))</f>
        <v>#N/A</v>
      </c>
      <c r="Z18" t="e">
        <f t="shared" si="16"/>
        <v>#N/A</v>
      </c>
      <c r="AA18">
        <f>IF(M18&gt;0,M18*COS(RADIANS(N18)),0)</f>
        <v>0</v>
      </c>
      <c r="AB18">
        <f>IF(M18&gt;0,M18*SIN(RADIANS(N18)),0)</f>
        <v>0</v>
      </c>
      <c r="AC18">
        <f>IF(O18&gt;0,O18*COS(RADIANS(P18)),0)</f>
        <v>0</v>
      </c>
      <c r="AD18">
        <f>IF(O18&gt;0,O18*SIN(RADIANS(P18)),0)</f>
        <v>0</v>
      </c>
      <c r="AE18">
        <f>IF(Q18&gt;0,Q18*COS(RADIANS(R18)),0)</f>
        <v>0</v>
      </c>
      <c r="AF18">
        <f>IF(Q18&gt;0,Q18*SIN(RADIANS(R18)),0)</f>
        <v>0</v>
      </c>
      <c r="AG18">
        <f t="shared" si="8"/>
        <v>0</v>
      </c>
      <c r="AH18">
        <f t="shared" si="9"/>
        <v>0</v>
      </c>
      <c r="AI18">
        <f t="shared" si="10"/>
        <v>0</v>
      </c>
      <c r="AJ18">
        <f t="shared" si="11"/>
        <v>0</v>
      </c>
      <c r="AK18">
        <f t="shared" si="12"/>
        <v>0</v>
      </c>
      <c r="AL18">
        <f t="shared" si="13"/>
        <v>0</v>
      </c>
    </row>
    <row r="19" spans="1:38" x14ac:dyDescent="0.35">
      <c r="A19" s="74"/>
      <c r="B19" s="13">
        <v>8</v>
      </c>
      <c r="C19" s="33"/>
      <c r="D19" s="26" t="s">
        <v>16</v>
      </c>
      <c r="E19" s="25">
        <v>0</v>
      </c>
      <c r="F19" s="14" t="str">
        <f>VLOOKUP(D19,$C$39:$D$43,2,FALSE)</f>
        <v xml:space="preserve"> </v>
      </c>
      <c r="G19" s="26" t="s">
        <v>16</v>
      </c>
      <c r="H19" s="25">
        <v>0</v>
      </c>
      <c r="I19" s="14" t="str">
        <f t="shared" si="1"/>
        <v xml:space="preserve"> </v>
      </c>
      <c r="J19" s="28" t="s">
        <v>16</v>
      </c>
      <c r="K19" s="29">
        <v>1</v>
      </c>
      <c r="L19" s="29">
        <v>1</v>
      </c>
      <c r="M19" s="30">
        <f t="shared" si="2"/>
        <v>0</v>
      </c>
      <c r="N19" s="31">
        <f t="shared" si="14"/>
        <v>0</v>
      </c>
      <c r="O19" s="10">
        <f t="shared" si="3"/>
        <v>0</v>
      </c>
      <c r="P19" s="12">
        <f t="shared" si="15"/>
        <v>0</v>
      </c>
      <c r="Q19" s="30">
        <f t="shared" si="4"/>
        <v>0</v>
      </c>
      <c r="R19" s="31">
        <f t="shared" si="5"/>
        <v>0</v>
      </c>
      <c r="S19" s="74"/>
      <c r="U19">
        <f t="shared" si="6"/>
        <v>0</v>
      </c>
      <c r="V19">
        <f t="shared" si="7"/>
        <v>0</v>
      </c>
      <c r="W19" t="e">
        <f>E19*1000/($D$29*VLOOKUP(J19,$J$40:$K$46,2,FALSE)*COS(RADIANS(U19)))</f>
        <v>#N/A</v>
      </c>
      <c r="X19" t="e">
        <f>E19*1000/($D$29*VLOOKUP(J19,$J$40:$K$46,2,FALSE))</f>
        <v>#N/A</v>
      </c>
      <c r="Y19" t="e">
        <f>E19*1000/($D$29*VLOOKUP(J19,$J$40:$K$46,2,FALSE)*SIN(RADIANS(U19)))</f>
        <v>#N/A</v>
      </c>
      <c r="Z19" t="e">
        <f t="shared" si="16"/>
        <v>#N/A</v>
      </c>
      <c r="AA19">
        <f>IF(M19&gt;0,M19*COS(RADIANS(N19)),0)</f>
        <v>0</v>
      </c>
      <c r="AB19">
        <f>IF(M19&gt;0,M19*SIN(RADIANS(N19)),0)</f>
        <v>0</v>
      </c>
      <c r="AC19">
        <f>IF(O19&gt;0,O19*COS(RADIANS(P19)),0)</f>
        <v>0</v>
      </c>
      <c r="AD19">
        <f>IF(O19&gt;0,O19*SIN(RADIANS(P19)),0)</f>
        <v>0</v>
      </c>
      <c r="AE19">
        <f>IF(Q19&gt;0,Q19*COS(RADIANS(R19)),0)</f>
        <v>0</v>
      </c>
      <c r="AF19">
        <f>IF(Q19&gt;0,Q19*SIN(RADIANS(R19)),0)</f>
        <v>0</v>
      </c>
      <c r="AG19">
        <f t="shared" si="8"/>
        <v>0</v>
      </c>
      <c r="AH19">
        <f t="shared" si="9"/>
        <v>0</v>
      </c>
      <c r="AI19">
        <f t="shared" si="10"/>
        <v>0</v>
      </c>
      <c r="AJ19">
        <f t="shared" si="11"/>
        <v>0</v>
      </c>
      <c r="AK19">
        <f t="shared" si="12"/>
        <v>0</v>
      </c>
      <c r="AL19">
        <f t="shared" si="13"/>
        <v>0</v>
      </c>
    </row>
    <row r="20" spans="1:38" x14ac:dyDescent="0.35">
      <c r="A20" s="74"/>
      <c r="B20" s="13">
        <v>9</v>
      </c>
      <c r="C20" s="33"/>
      <c r="D20" s="26" t="s">
        <v>16</v>
      </c>
      <c r="E20" s="25">
        <v>0</v>
      </c>
      <c r="F20" s="14" t="str">
        <f>VLOOKUP(D20,$C$39:$D$43,2,FALSE)</f>
        <v xml:space="preserve"> </v>
      </c>
      <c r="G20" s="26" t="s">
        <v>16</v>
      </c>
      <c r="H20" s="25">
        <v>0</v>
      </c>
      <c r="I20" s="14" t="str">
        <f t="shared" si="1"/>
        <v xml:space="preserve"> </v>
      </c>
      <c r="J20" s="28" t="s">
        <v>16</v>
      </c>
      <c r="K20" s="29">
        <v>1</v>
      </c>
      <c r="L20" s="29">
        <v>1</v>
      </c>
      <c r="M20" s="30">
        <f t="shared" si="2"/>
        <v>0</v>
      </c>
      <c r="N20" s="31">
        <f t="shared" si="14"/>
        <v>0</v>
      </c>
      <c r="O20" s="10">
        <f t="shared" si="3"/>
        <v>0</v>
      </c>
      <c r="P20" s="12">
        <f t="shared" si="15"/>
        <v>0</v>
      </c>
      <c r="Q20" s="30">
        <f t="shared" si="4"/>
        <v>0</v>
      </c>
      <c r="R20" s="31">
        <f t="shared" si="5"/>
        <v>0</v>
      </c>
      <c r="S20" s="74"/>
      <c r="U20">
        <f t="shared" si="6"/>
        <v>0</v>
      </c>
      <c r="V20">
        <f t="shared" si="7"/>
        <v>0</v>
      </c>
      <c r="W20" t="e">
        <f>E20*1000/($D$29*VLOOKUP(J20,$J$40:$K$46,2,FALSE)*COS(RADIANS(U20)))</f>
        <v>#N/A</v>
      </c>
      <c r="X20" t="e">
        <f>E20*1000/($D$29*VLOOKUP(J20,$J$40:$K$46,2,FALSE))</f>
        <v>#N/A</v>
      </c>
      <c r="Y20" t="e">
        <f>E20*1000/($D$29*VLOOKUP(J20,$J$40:$K$46,2,FALSE)*SIN(RADIANS(U20)))</f>
        <v>#N/A</v>
      </c>
      <c r="Z20" t="e">
        <f t="shared" si="16"/>
        <v>#N/A</v>
      </c>
      <c r="AA20">
        <f>IF(M20&gt;0,M20*COS(RADIANS(N20)),0)</f>
        <v>0</v>
      </c>
      <c r="AB20">
        <f>IF(M20&gt;0,M20*SIN(RADIANS(N20)),0)</f>
        <v>0</v>
      </c>
      <c r="AC20">
        <f>IF(O20&gt;0,O20*COS(RADIANS(P20)),0)</f>
        <v>0</v>
      </c>
      <c r="AD20">
        <f>IF(O20&gt;0,O20*SIN(RADIANS(P20)),0)</f>
        <v>0</v>
      </c>
      <c r="AE20">
        <f>IF(Q20&gt;0,Q20*COS(RADIANS(R20)),0)</f>
        <v>0</v>
      </c>
      <c r="AF20">
        <f>IF(Q20&gt;0,Q20*SIN(RADIANS(R20)),0)</f>
        <v>0</v>
      </c>
      <c r="AG20">
        <f t="shared" si="8"/>
        <v>0</v>
      </c>
      <c r="AH20">
        <f t="shared" si="9"/>
        <v>0</v>
      </c>
      <c r="AI20">
        <f t="shared" si="10"/>
        <v>0</v>
      </c>
      <c r="AJ20">
        <f t="shared" si="11"/>
        <v>0</v>
      </c>
      <c r="AK20">
        <f t="shared" si="12"/>
        <v>0</v>
      </c>
      <c r="AL20">
        <f t="shared" si="13"/>
        <v>0</v>
      </c>
    </row>
    <row r="21" spans="1:38" x14ac:dyDescent="0.35">
      <c r="A21" s="74"/>
      <c r="B21" s="13">
        <v>10</v>
      </c>
      <c r="C21" s="33"/>
      <c r="D21" s="26" t="s">
        <v>16</v>
      </c>
      <c r="E21" s="25">
        <v>0</v>
      </c>
      <c r="F21" s="14" t="str">
        <f>VLOOKUP(D21,$C$39:$D$43,2,FALSE)</f>
        <v xml:space="preserve"> </v>
      </c>
      <c r="G21" s="26" t="s">
        <v>16</v>
      </c>
      <c r="H21" s="25">
        <v>0</v>
      </c>
      <c r="I21" s="14" t="str">
        <f t="shared" si="1"/>
        <v xml:space="preserve"> </v>
      </c>
      <c r="J21" s="28" t="s">
        <v>16</v>
      </c>
      <c r="K21" s="29">
        <v>1</v>
      </c>
      <c r="L21" s="29">
        <v>1</v>
      </c>
      <c r="M21" s="30">
        <f t="shared" si="2"/>
        <v>0</v>
      </c>
      <c r="N21" s="31">
        <f t="shared" si="14"/>
        <v>0</v>
      </c>
      <c r="O21" s="10">
        <f t="shared" si="3"/>
        <v>0</v>
      </c>
      <c r="P21" s="12">
        <f t="shared" si="15"/>
        <v>0</v>
      </c>
      <c r="Q21" s="30">
        <f t="shared" si="4"/>
        <v>0</v>
      </c>
      <c r="R21" s="31">
        <f t="shared" si="5"/>
        <v>0</v>
      </c>
      <c r="S21" s="74"/>
      <c r="U21">
        <f t="shared" si="6"/>
        <v>0</v>
      </c>
      <c r="V21">
        <f t="shared" si="7"/>
        <v>0</v>
      </c>
      <c r="W21" t="e">
        <f>E21*1000/($D$29*VLOOKUP(J21,$J$40:$K$46,2,FALSE)*COS(RADIANS(U21)))</f>
        <v>#N/A</v>
      </c>
      <c r="X21" t="e">
        <f>E21*1000/($D$29*VLOOKUP(J21,$J$40:$K$46,2,FALSE))</f>
        <v>#N/A</v>
      </c>
      <c r="Y21" t="e">
        <f>E21*1000/($D$29*VLOOKUP(J21,$J$40:$K$46,2,FALSE)*SIN(RADIANS(U21)))</f>
        <v>#N/A</v>
      </c>
      <c r="Z21" t="e">
        <f t="shared" si="16"/>
        <v>#N/A</v>
      </c>
      <c r="AA21">
        <f>IF(M21&gt;0,M21*COS(RADIANS(N21)),0)</f>
        <v>0</v>
      </c>
      <c r="AB21">
        <f>IF(M21&gt;0,M21*SIN(RADIANS(N21)),0)</f>
        <v>0</v>
      </c>
      <c r="AC21">
        <f>IF(O21&gt;0,O21*COS(RADIANS(P21)),0)</f>
        <v>0</v>
      </c>
      <c r="AD21">
        <f>IF(O21&gt;0,O21*SIN(RADIANS(P21)),0)</f>
        <v>0</v>
      </c>
      <c r="AE21">
        <f>IF(Q21&gt;0,Q21*COS(RADIANS(R21)),0)</f>
        <v>0</v>
      </c>
      <c r="AF21">
        <f>IF(Q21&gt;0,Q21*SIN(RADIANS(R21)),0)</f>
        <v>0</v>
      </c>
      <c r="AG21">
        <f t="shared" si="8"/>
        <v>0</v>
      </c>
      <c r="AH21">
        <f t="shared" si="9"/>
        <v>0</v>
      </c>
      <c r="AI21">
        <f t="shared" si="10"/>
        <v>0</v>
      </c>
      <c r="AJ21">
        <f t="shared" si="11"/>
        <v>0</v>
      </c>
      <c r="AK21">
        <f t="shared" si="12"/>
        <v>0</v>
      </c>
      <c r="AL21">
        <f t="shared" si="13"/>
        <v>0</v>
      </c>
    </row>
    <row r="22" spans="1:38" x14ac:dyDescent="0.35">
      <c r="A22" s="74"/>
      <c r="B22" s="13">
        <v>11</v>
      </c>
      <c r="C22" s="33"/>
      <c r="D22" s="26" t="s">
        <v>16</v>
      </c>
      <c r="E22" s="25">
        <v>0</v>
      </c>
      <c r="F22" s="14" t="str">
        <f>VLOOKUP(D22,$C$39:$D$43,2,FALSE)</f>
        <v xml:space="preserve"> </v>
      </c>
      <c r="G22" s="26" t="s">
        <v>16</v>
      </c>
      <c r="H22" s="25">
        <v>0</v>
      </c>
      <c r="I22" s="14" t="str">
        <f t="shared" si="1"/>
        <v xml:space="preserve"> </v>
      </c>
      <c r="J22" s="28" t="s">
        <v>16</v>
      </c>
      <c r="K22" s="29">
        <v>1</v>
      </c>
      <c r="L22" s="29">
        <v>1</v>
      </c>
      <c r="M22" s="30">
        <f t="shared" si="2"/>
        <v>0</v>
      </c>
      <c r="N22" s="31">
        <f t="shared" si="14"/>
        <v>0</v>
      </c>
      <c r="O22" s="10">
        <f t="shared" si="3"/>
        <v>0</v>
      </c>
      <c r="P22" s="12">
        <f t="shared" si="15"/>
        <v>0</v>
      </c>
      <c r="Q22" s="30">
        <f t="shared" si="4"/>
        <v>0</v>
      </c>
      <c r="R22" s="31">
        <f t="shared" si="5"/>
        <v>0</v>
      </c>
      <c r="S22" s="74"/>
      <c r="U22">
        <f t="shared" si="6"/>
        <v>0</v>
      </c>
      <c r="V22">
        <f t="shared" si="7"/>
        <v>0</v>
      </c>
      <c r="W22" t="e">
        <f>E22*1000/($D$29*VLOOKUP(J22,$J$40:$K$46,2,FALSE)*COS(RADIANS(U22)))</f>
        <v>#N/A</v>
      </c>
      <c r="X22" t="e">
        <f>E22*1000/($D$29*VLOOKUP(J22,$J$40:$K$46,2,FALSE))</f>
        <v>#N/A</v>
      </c>
      <c r="Y22" t="e">
        <f>E22*1000/($D$29*VLOOKUP(J22,$J$40:$K$46,2,FALSE)*SIN(RADIANS(U22)))</f>
        <v>#N/A</v>
      </c>
      <c r="Z22" t="e">
        <f t="shared" si="16"/>
        <v>#N/A</v>
      </c>
      <c r="AA22">
        <f>IF(M22&gt;0,M22*COS(RADIANS(N22)),0)</f>
        <v>0</v>
      </c>
      <c r="AB22">
        <f>IF(M22&gt;0,M22*SIN(RADIANS(N22)),0)</f>
        <v>0</v>
      </c>
      <c r="AC22">
        <f>IF(O22&gt;0,O22*COS(RADIANS(P22)),0)</f>
        <v>0</v>
      </c>
      <c r="AD22">
        <f>IF(O22&gt;0,O22*SIN(RADIANS(P22)),0)</f>
        <v>0</v>
      </c>
      <c r="AE22">
        <f>IF(Q22&gt;0,Q22*COS(RADIANS(R22)),0)</f>
        <v>0</v>
      </c>
      <c r="AF22">
        <f>IF(Q22&gt;0,Q22*SIN(RADIANS(R22)),0)</f>
        <v>0</v>
      </c>
      <c r="AG22">
        <f t="shared" si="8"/>
        <v>0</v>
      </c>
      <c r="AH22">
        <f t="shared" si="9"/>
        <v>0</v>
      </c>
      <c r="AI22">
        <f t="shared" si="10"/>
        <v>0</v>
      </c>
      <c r="AJ22">
        <f t="shared" si="11"/>
        <v>0</v>
      </c>
      <c r="AK22">
        <f>IF(AE22=0,0,AE22*$K22*$L22)</f>
        <v>0</v>
      </c>
      <c r="AL22">
        <f t="shared" si="13"/>
        <v>0</v>
      </c>
    </row>
    <row r="23" spans="1:38" x14ac:dyDescent="0.35">
      <c r="A23" s="74"/>
      <c r="B23" s="13">
        <v>12</v>
      </c>
      <c r="C23" s="33"/>
      <c r="D23" s="26" t="s">
        <v>16</v>
      </c>
      <c r="E23" s="25">
        <v>0</v>
      </c>
      <c r="F23" s="14" t="str">
        <f>VLOOKUP(D23,$C$39:$D$43,2,FALSE)</f>
        <v xml:space="preserve"> </v>
      </c>
      <c r="G23" s="26" t="s">
        <v>16</v>
      </c>
      <c r="H23" s="25">
        <v>0</v>
      </c>
      <c r="I23" s="14" t="str">
        <f t="shared" si="1"/>
        <v xml:space="preserve"> </v>
      </c>
      <c r="J23" s="28" t="s">
        <v>16</v>
      </c>
      <c r="K23" s="29">
        <v>1</v>
      </c>
      <c r="L23" s="29">
        <v>1</v>
      </c>
      <c r="M23" s="30">
        <f t="shared" si="2"/>
        <v>0</v>
      </c>
      <c r="N23" s="31">
        <f t="shared" si="14"/>
        <v>0</v>
      </c>
      <c r="O23" s="10">
        <f t="shared" si="3"/>
        <v>0</v>
      </c>
      <c r="P23" s="12">
        <f t="shared" si="15"/>
        <v>0</v>
      </c>
      <c r="Q23" s="30">
        <f t="shared" si="4"/>
        <v>0</v>
      </c>
      <c r="R23" s="31">
        <f t="shared" si="5"/>
        <v>0</v>
      </c>
      <c r="S23" s="74"/>
      <c r="U23">
        <f t="shared" si="6"/>
        <v>0</v>
      </c>
      <c r="V23">
        <f t="shared" si="7"/>
        <v>0</v>
      </c>
      <c r="W23" t="e">
        <f>E23*1000/($D$29*VLOOKUP(J23,$J$40:$K$46,2,FALSE)*COS(RADIANS(U23)))</f>
        <v>#N/A</v>
      </c>
      <c r="X23" t="e">
        <f>E23*1000/($D$29*VLOOKUP(J23,$J$40:$K$46,2,FALSE))</f>
        <v>#N/A</v>
      </c>
      <c r="Y23" t="e">
        <f>E23*1000/($D$29*VLOOKUP(J23,$J$40:$K$46,2,FALSE)*SIN(RADIANS(U23)))</f>
        <v>#N/A</v>
      </c>
      <c r="Z23" t="e">
        <f t="shared" si="16"/>
        <v>#N/A</v>
      </c>
      <c r="AA23">
        <f>IF(M23&gt;0,M23*COS(RADIANS(N23)),0)</f>
        <v>0</v>
      </c>
      <c r="AB23">
        <f>IF(M23&gt;0,M23*SIN(RADIANS(N23)),0)</f>
        <v>0</v>
      </c>
      <c r="AC23">
        <f>IF(O23&gt;0,O23*COS(RADIANS(P23)),0)</f>
        <v>0</v>
      </c>
      <c r="AD23">
        <f>IF(O23&gt;0,O23*SIN(RADIANS(P23)),0)</f>
        <v>0</v>
      </c>
      <c r="AE23">
        <f>IF(Q23&gt;0,Q23*COS(RADIANS(R23)),0)</f>
        <v>0</v>
      </c>
      <c r="AF23">
        <f>IF(Q23&gt;0,Q23*SIN(RADIANS(R23)),0)</f>
        <v>0</v>
      </c>
      <c r="AG23">
        <f t="shared" si="8"/>
        <v>0</v>
      </c>
      <c r="AH23">
        <f t="shared" si="9"/>
        <v>0</v>
      </c>
      <c r="AI23">
        <f t="shared" si="10"/>
        <v>0</v>
      </c>
      <c r="AJ23">
        <f t="shared" si="11"/>
        <v>0</v>
      </c>
      <c r="AK23">
        <f t="shared" si="12"/>
        <v>0</v>
      </c>
      <c r="AL23">
        <f t="shared" si="13"/>
        <v>0</v>
      </c>
    </row>
    <row r="24" spans="1:38" x14ac:dyDescent="0.35">
      <c r="A24" s="74"/>
      <c r="B24" s="13">
        <v>13</v>
      </c>
      <c r="C24" s="33"/>
      <c r="D24" s="26" t="s">
        <v>16</v>
      </c>
      <c r="E24" s="25">
        <v>0</v>
      </c>
      <c r="F24" s="14" t="str">
        <f>VLOOKUP(D24,$C$39:$D$43,2,FALSE)</f>
        <v xml:space="preserve"> </v>
      </c>
      <c r="G24" s="26" t="s">
        <v>16</v>
      </c>
      <c r="H24" s="25">
        <v>0</v>
      </c>
      <c r="I24" s="14" t="str">
        <f t="shared" si="1"/>
        <v xml:space="preserve"> </v>
      </c>
      <c r="J24" s="28" t="s">
        <v>16</v>
      </c>
      <c r="K24" s="29">
        <v>1</v>
      </c>
      <c r="L24" s="29">
        <v>1</v>
      </c>
      <c r="M24" s="30">
        <f t="shared" si="2"/>
        <v>0</v>
      </c>
      <c r="N24" s="31">
        <f t="shared" si="14"/>
        <v>0</v>
      </c>
      <c r="O24" s="10">
        <f t="shared" si="3"/>
        <v>0</v>
      </c>
      <c r="P24" s="12">
        <f t="shared" si="15"/>
        <v>0</v>
      </c>
      <c r="Q24" s="30">
        <f t="shared" si="4"/>
        <v>0</v>
      </c>
      <c r="R24" s="31">
        <f t="shared" si="5"/>
        <v>0</v>
      </c>
      <c r="S24" s="74"/>
      <c r="U24">
        <f t="shared" si="6"/>
        <v>0</v>
      </c>
      <c r="V24">
        <f t="shared" si="7"/>
        <v>0</v>
      </c>
      <c r="W24" t="e">
        <f>E24*1000/($D$29*VLOOKUP(J24,$J$40:$K$46,2,FALSE)*COS(RADIANS(U24)))</f>
        <v>#N/A</v>
      </c>
      <c r="X24" t="e">
        <f>E24*1000/($D$29*VLOOKUP(J24,$J$40:$K$46,2,FALSE))</f>
        <v>#N/A</v>
      </c>
      <c r="Y24" t="e">
        <f>E24*1000/($D$29*VLOOKUP(J24,$J$40:$K$46,2,FALSE)*SIN(RADIANS(U24)))</f>
        <v>#N/A</v>
      </c>
      <c r="Z24" t="e">
        <f t="shared" si="16"/>
        <v>#N/A</v>
      </c>
      <c r="AA24">
        <f>IF(M24&gt;0,M24*COS(RADIANS(N24)),0)</f>
        <v>0</v>
      </c>
      <c r="AB24">
        <f>IF(M24&gt;0,M24*SIN(RADIANS(N24)),0)</f>
        <v>0</v>
      </c>
      <c r="AC24">
        <f>IF(O24&gt;0,O24*COS(RADIANS(P24)),0)</f>
        <v>0</v>
      </c>
      <c r="AD24">
        <f>IF(O24&gt;0,O24*SIN(RADIANS(P24)),0)</f>
        <v>0</v>
      </c>
      <c r="AE24">
        <f>IF(Q24&gt;0,Q24*COS(RADIANS(R24)),0)</f>
        <v>0</v>
      </c>
      <c r="AF24">
        <f>IF(Q24&gt;0,Q24*SIN(RADIANS(R24)),0)</f>
        <v>0</v>
      </c>
      <c r="AG24">
        <f t="shared" si="8"/>
        <v>0</v>
      </c>
      <c r="AH24">
        <f t="shared" si="9"/>
        <v>0</v>
      </c>
      <c r="AI24">
        <f t="shared" si="10"/>
        <v>0</v>
      </c>
      <c r="AJ24">
        <f t="shared" si="11"/>
        <v>0</v>
      </c>
      <c r="AK24">
        <f t="shared" si="12"/>
        <v>0</v>
      </c>
      <c r="AL24">
        <f t="shared" si="13"/>
        <v>0</v>
      </c>
    </row>
    <row r="25" spans="1:38" x14ac:dyDescent="0.35">
      <c r="A25" s="74"/>
      <c r="B25" s="13">
        <v>14</v>
      </c>
      <c r="C25" s="33"/>
      <c r="D25" s="26" t="s">
        <v>16</v>
      </c>
      <c r="E25" s="25">
        <v>0</v>
      </c>
      <c r="F25" s="14" t="str">
        <f>VLOOKUP(D25,$C$39:$D$43,2,FALSE)</f>
        <v xml:space="preserve"> </v>
      </c>
      <c r="G25" s="26" t="s">
        <v>16</v>
      </c>
      <c r="H25" s="25">
        <v>0</v>
      </c>
      <c r="I25" s="14" t="str">
        <f t="shared" si="1"/>
        <v xml:space="preserve"> </v>
      </c>
      <c r="J25" s="28" t="s">
        <v>16</v>
      </c>
      <c r="K25" s="29">
        <v>1</v>
      </c>
      <c r="L25" s="29">
        <v>1</v>
      </c>
      <c r="M25" s="30">
        <f t="shared" si="2"/>
        <v>0</v>
      </c>
      <c r="N25" s="31">
        <f t="shared" si="14"/>
        <v>0</v>
      </c>
      <c r="O25" s="10">
        <f t="shared" si="3"/>
        <v>0</v>
      </c>
      <c r="P25" s="12">
        <f t="shared" si="15"/>
        <v>0</v>
      </c>
      <c r="Q25" s="30">
        <f t="shared" si="4"/>
        <v>0</v>
      </c>
      <c r="R25" s="31">
        <f t="shared" si="5"/>
        <v>0</v>
      </c>
      <c r="S25" s="74"/>
      <c r="U25">
        <f t="shared" si="6"/>
        <v>0</v>
      </c>
      <c r="V25">
        <f t="shared" si="7"/>
        <v>0</v>
      </c>
      <c r="W25" t="e">
        <f>E25*1000/($D$29*VLOOKUP(J25,$J$40:$K$46,2,FALSE)*COS(RADIANS(U25)))</f>
        <v>#N/A</v>
      </c>
      <c r="X25" t="e">
        <f>E25*1000/($D$29*VLOOKUP(J25,$J$40:$K$46,2,FALSE))</f>
        <v>#N/A</v>
      </c>
      <c r="Y25" t="e">
        <f>E25*1000/($D$29*VLOOKUP(J25,$J$40:$K$46,2,FALSE)*SIN(RADIANS(U25)))</f>
        <v>#N/A</v>
      </c>
      <c r="Z25" t="e">
        <f t="shared" si="16"/>
        <v>#N/A</v>
      </c>
      <c r="AA25">
        <f>IF(M25&gt;0,M25*COS(RADIANS(N25)),0)</f>
        <v>0</v>
      </c>
      <c r="AB25">
        <f>IF(M25&gt;0,M25*SIN(RADIANS(N25)),0)</f>
        <v>0</v>
      </c>
      <c r="AC25">
        <f>IF(O25&gt;0,O25*COS(RADIANS(P25)),0)</f>
        <v>0</v>
      </c>
      <c r="AD25">
        <f>IF(O25&gt;0,O25*SIN(RADIANS(P25)),0)</f>
        <v>0</v>
      </c>
      <c r="AE25">
        <f>IF(Q25&gt;0,Q25*COS(RADIANS(R25)),0)</f>
        <v>0</v>
      </c>
      <c r="AF25">
        <f>IF(Q25&gt;0,Q25*SIN(RADIANS(R25)),0)</f>
        <v>0</v>
      </c>
      <c r="AG25">
        <f t="shared" si="8"/>
        <v>0</v>
      </c>
      <c r="AH25">
        <f t="shared" si="9"/>
        <v>0</v>
      </c>
      <c r="AI25">
        <f t="shared" si="10"/>
        <v>0</v>
      </c>
      <c r="AJ25">
        <f t="shared" si="11"/>
        <v>0</v>
      </c>
      <c r="AK25">
        <f t="shared" si="12"/>
        <v>0</v>
      </c>
      <c r="AL25">
        <f t="shared" si="13"/>
        <v>0</v>
      </c>
    </row>
    <row r="26" spans="1:38" ht="15" thickBot="1" x14ac:dyDescent="0.4">
      <c r="A26" s="74"/>
      <c r="B26" s="15">
        <v>15</v>
      </c>
      <c r="C26" s="34"/>
      <c r="D26" s="35" t="s">
        <v>16</v>
      </c>
      <c r="E26" s="25">
        <v>0</v>
      </c>
      <c r="F26" s="17" t="str">
        <f>VLOOKUP(D26,$C$39:$D$43,2,FALSE)</f>
        <v xml:space="preserve"> </v>
      </c>
      <c r="G26" s="35" t="s">
        <v>16</v>
      </c>
      <c r="H26" s="25">
        <v>0</v>
      </c>
      <c r="I26" s="36" t="str">
        <f t="shared" si="1"/>
        <v xml:space="preserve"> </v>
      </c>
      <c r="J26" s="37" t="s">
        <v>16</v>
      </c>
      <c r="K26" s="38">
        <v>1</v>
      </c>
      <c r="L26" s="38">
        <v>1</v>
      </c>
      <c r="M26" s="39">
        <f t="shared" si="2"/>
        <v>0</v>
      </c>
      <c r="N26" s="40">
        <f t="shared" si="14"/>
        <v>0</v>
      </c>
      <c r="O26" s="41">
        <f t="shared" si="3"/>
        <v>0</v>
      </c>
      <c r="P26" s="42">
        <f t="shared" si="15"/>
        <v>0</v>
      </c>
      <c r="Q26" s="39">
        <f t="shared" si="4"/>
        <v>0</v>
      </c>
      <c r="R26" s="40">
        <f t="shared" si="5"/>
        <v>0</v>
      </c>
      <c r="S26" s="74"/>
      <c r="U26">
        <f t="shared" si="6"/>
        <v>0</v>
      </c>
      <c r="V26">
        <f t="shared" si="7"/>
        <v>0</v>
      </c>
      <c r="W26" t="e">
        <f>E26*1000/($D$29*VLOOKUP(J26,$J$40:$K$46,2,FALSE)*COS(RADIANS(U26)))</f>
        <v>#N/A</v>
      </c>
      <c r="X26" t="e">
        <f>E26*1000/($D$29*VLOOKUP(J26,$J$40:$K$46,2,FALSE))</f>
        <v>#N/A</v>
      </c>
      <c r="Y26" t="e">
        <f>E26*1000/($D$29*VLOOKUP(J26,$J$40:$K$46,2,FALSE)*SIN(RADIANS(U26)))</f>
        <v>#N/A</v>
      </c>
      <c r="Z26" t="e">
        <f t="shared" si="16"/>
        <v>#N/A</v>
      </c>
      <c r="AA26">
        <f>IF(M26&gt;0,M26*COS(RADIANS(N26)),0)</f>
        <v>0</v>
      </c>
      <c r="AB26">
        <f>IF(M26&gt;0,M26*SIN(RADIANS(N26)),0)</f>
        <v>0</v>
      </c>
      <c r="AC26">
        <f>IF(O26&gt;0,O26*COS(RADIANS(P26)),0)</f>
        <v>0</v>
      </c>
      <c r="AD26">
        <f>IF(O26&gt;0,O26*SIN(RADIANS(P26)),0)</f>
        <v>0</v>
      </c>
      <c r="AE26">
        <f>IF(Q26&gt;0,Q26*COS(RADIANS(R26)),0)</f>
        <v>0</v>
      </c>
      <c r="AF26">
        <f>IF(Q26&gt;0,Q26*SIN(RADIANS(R26)),0)</f>
        <v>0</v>
      </c>
      <c r="AG26">
        <f t="shared" si="8"/>
        <v>0</v>
      </c>
      <c r="AH26">
        <f t="shared" si="9"/>
        <v>0</v>
      </c>
      <c r="AI26">
        <f t="shared" si="10"/>
        <v>0</v>
      </c>
      <c r="AJ26">
        <f t="shared" si="11"/>
        <v>0</v>
      </c>
      <c r="AK26">
        <f t="shared" si="12"/>
        <v>0</v>
      </c>
      <c r="AL26">
        <f t="shared" si="13"/>
        <v>0</v>
      </c>
    </row>
    <row r="27" spans="1:38" ht="15" thickBot="1" x14ac:dyDescent="0.4">
      <c r="A27" s="74"/>
      <c r="B27" s="60" t="s">
        <v>35</v>
      </c>
      <c r="C27" s="46"/>
      <c r="D27" s="46" t="s">
        <v>36</v>
      </c>
      <c r="E27" s="66"/>
      <c r="F27" s="59" t="s">
        <v>43</v>
      </c>
      <c r="G27" s="56"/>
      <c r="H27" s="57"/>
      <c r="I27" s="47"/>
      <c r="J27" s="48"/>
      <c r="K27" s="48"/>
      <c r="L27" s="49"/>
      <c r="M27" s="50"/>
      <c r="N27" s="51"/>
      <c r="O27" s="47"/>
      <c r="P27" s="49"/>
      <c r="Q27" s="52"/>
      <c r="R27" s="51"/>
      <c r="S27" s="74"/>
    </row>
    <row r="28" spans="1:38" ht="18.5" x14ac:dyDescent="0.45">
      <c r="A28" s="74"/>
      <c r="B28" s="61"/>
      <c r="C28" s="62"/>
      <c r="D28" s="62"/>
      <c r="E28" s="67"/>
      <c r="F28" s="63"/>
      <c r="G28" s="63"/>
      <c r="H28" s="58"/>
      <c r="I28" s="43" t="s">
        <v>41</v>
      </c>
      <c r="J28" s="44"/>
      <c r="K28" s="53" t="s">
        <v>39</v>
      </c>
      <c r="L28" s="45" t="s">
        <v>40</v>
      </c>
      <c r="M28" s="75">
        <f>SQRT(AA28^2+AB28^2)</f>
        <v>434.16680730776517</v>
      </c>
      <c r="N28" s="68">
        <f>-DEGREES(ACOS(AA28/M28))</f>
        <v>-24.058490220688107</v>
      </c>
      <c r="O28" s="77">
        <f t="shared" ref="O28" si="17">SQRT(AC28^2+AD28^2)</f>
        <v>444.94452961386361</v>
      </c>
      <c r="P28" s="69">
        <f t="shared" ref="P28" si="18">-DEGREES(ACOS(AC28/O28))</f>
        <v>-26.999388375203253</v>
      </c>
      <c r="Q28" s="75">
        <f t="shared" ref="Q28" si="19">SQRT(AE28^2+AF28^2)</f>
        <v>449.6959409703876</v>
      </c>
      <c r="R28" s="68">
        <f t="shared" ref="R28" si="20">-DEGREES(ACOS(AE28/Q28))</f>
        <v>-27.364655663918448</v>
      </c>
      <c r="S28" s="74"/>
      <c r="AA28">
        <f>SUM(AA12:AA26)</f>
        <v>396.45063509461096</v>
      </c>
      <c r="AB28">
        <f>SUM(AB12:AB26)</f>
        <v>-176.99635730968504</v>
      </c>
      <c r="AC28">
        <f>SUM(AC12:AC26)</f>
        <v>396.45063509461096</v>
      </c>
      <c r="AD28">
        <f>SUM(AD12:AD26)</f>
        <v>-201.99635730968504</v>
      </c>
      <c r="AE28">
        <f>SUM(AE12:AE26)</f>
        <v>399.37456132866976</v>
      </c>
      <c r="AF28">
        <f>SUM(AF12:AF26)</f>
        <v>-206.70365040021642</v>
      </c>
      <c r="AG28">
        <f>SUM(AG12:AG26)</f>
        <v>414.45063509461096</v>
      </c>
      <c r="AH28">
        <f t="shared" ref="AG28:AL28" si="21">SUM(AH12:AH26)</f>
        <v>-185.7141551967664</v>
      </c>
      <c r="AI28">
        <f t="shared" si="21"/>
        <v>414.45063509461096</v>
      </c>
      <c r="AJ28">
        <f t="shared" si="21"/>
        <v>-210.7141551967664</v>
      </c>
      <c r="AK28">
        <f t="shared" si="21"/>
        <v>410.00219293006882</v>
      </c>
      <c r="AL28">
        <f t="shared" si="21"/>
        <v>-210.25926036013837</v>
      </c>
    </row>
    <row r="29" spans="1:38" ht="19" thickBot="1" x14ac:dyDescent="0.5">
      <c r="A29" s="74"/>
      <c r="B29" s="4" t="s">
        <v>32</v>
      </c>
      <c r="C29" s="5"/>
      <c r="D29" s="5">
        <v>400</v>
      </c>
      <c r="E29" s="6" t="s">
        <v>33</v>
      </c>
      <c r="F29" s="63"/>
      <c r="G29" s="63"/>
      <c r="H29" s="58"/>
      <c r="I29" s="15"/>
      <c r="J29" s="16"/>
      <c r="K29" s="54"/>
      <c r="L29" s="17" t="s">
        <v>18</v>
      </c>
      <c r="M29" s="76"/>
      <c r="N29" s="70">
        <f>COS(RADIANS(N28))</f>
        <v>0.91312976584500027</v>
      </c>
      <c r="O29" s="78"/>
      <c r="P29" s="71">
        <f t="shared" ref="P29" si="22">COS(RADIANS(P28))</f>
        <v>0.89101137042557399</v>
      </c>
      <c r="Q29" s="76"/>
      <c r="R29" s="70">
        <f>COS(RADIANS(R28))</f>
        <v>0.88809910195513309</v>
      </c>
      <c r="S29" s="74"/>
    </row>
    <row r="30" spans="1:38" ht="18.5" x14ac:dyDescent="0.45">
      <c r="A30" s="74"/>
      <c r="B30" s="85" t="s">
        <v>48</v>
      </c>
      <c r="C30" s="82"/>
      <c r="D30" s="79"/>
      <c r="E30" s="55"/>
      <c r="F30" s="63"/>
      <c r="G30" s="63"/>
      <c r="H30" s="58"/>
      <c r="I30" s="10" t="s">
        <v>42</v>
      </c>
      <c r="J30" s="11"/>
      <c r="K30" s="53" t="s">
        <v>39</v>
      </c>
      <c r="L30" s="12" t="s">
        <v>40</v>
      </c>
      <c r="M30" s="75">
        <f>SQRT(AG28^2+AH28^2)</f>
        <v>454.15754576003138</v>
      </c>
      <c r="N30" s="72">
        <f>-DEGREES(ACOS(AG28/M30))</f>
        <v>-24.137016059971415</v>
      </c>
      <c r="O30" s="77">
        <f t="shared" ref="O30" si="23">SQRT(AI28^2+AJ28^2)</f>
        <v>464.94062430660256</v>
      </c>
      <c r="P30" s="73">
        <f t="shared" ref="P30" si="24">-DEGREES(ACOS(AI28/O30))</f>
        <v>-26.949602360685173</v>
      </c>
      <c r="Q30" s="75">
        <f t="shared" ref="Q30" si="25">SQRT(AK28^2+AL28^2)</f>
        <v>460.77191187686105</v>
      </c>
      <c r="R30" s="72">
        <f t="shared" ref="R30" si="26">-DEGREES(ACOS(AK28/Q30))</f>
        <v>-27.149872620944034</v>
      </c>
      <c r="S30" s="74"/>
    </row>
    <row r="31" spans="1:38" ht="19" thickBot="1" x14ac:dyDescent="0.5">
      <c r="A31" s="74"/>
      <c r="B31" s="83"/>
      <c r="C31" s="84"/>
      <c r="D31" s="80"/>
      <c r="E31" s="81"/>
      <c r="F31" s="64"/>
      <c r="G31" s="64"/>
      <c r="H31" s="65"/>
      <c r="I31" s="15"/>
      <c r="J31" s="16"/>
      <c r="K31" s="54"/>
      <c r="L31" s="17" t="s">
        <v>18</v>
      </c>
      <c r="M31" s="76"/>
      <c r="N31" s="70">
        <f>COS(RADIANS(N30))</f>
        <v>0.9125701839898509</v>
      </c>
      <c r="O31" s="78"/>
      <c r="P31" s="71">
        <f t="shared" ref="P31" si="27">COS(RADIANS(P30))</f>
        <v>0.89140551164508219</v>
      </c>
      <c r="Q31" s="76"/>
      <c r="R31" s="70">
        <f t="shared" ref="R31" si="28">COS(RADIANS(R30))</f>
        <v>0.88981594225222616</v>
      </c>
      <c r="S31" s="74"/>
    </row>
    <row r="32" spans="1:38" x14ac:dyDescent="0.35">
      <c r="A32" s="74"/>
      <c r="B32" s="74"/>
      <c r="C32" s="74"/>
      <c r="D32" s="74"/>
      <c r="E32" s="74"/>
      <c r="F32" s="74"/>
      <c r="G32" s="74"/>
      <c r="H32" s="74"/>
      <c r="I32" s="74"/>
      <c r="J32" s="74"/>
      <c r="K32" s="74"/>
      <c r="L32" s="74"/>
      <c r="M32" s="74"/>
      <c r="N32" s="74"/>
      <c r="O32" s="74"/>
      <c r="P32" s="74"/>
      <c r="Q32" s="74"/>
      <c r="R32" s="74"/>
      <c r="S32" s="74"/>
    </row>
    <row r="33" spans="1:19" x14ac:dyDescent="0.35">
      <c r="A33" s="74"/>
      <c r="B33" s="74"/>
      <c r="C33" s="74"/>
      <c r="D33" s="74"/>
      <c r="E33" s="74"/>
      <c r="F33" s="74"/>
      <c r="G33" s="74"/>
      <c r="H33" s="74"/>
      <c r="I33" s="74"/>
      <c r="J33" s="74"/>
      <c r="K33" s="74"/>
      <c r="L33" s="74"/>
      <c r="M33" s="74"/>
      <c r="N33" s="74"/>
      <c r="O33" s="74"/>
      <c r="P33" s="74"/>
      <c r="Q33" s="74"/>
      <c r="R33" s="74"/>
      <c r="S33" s="74"/>
    </row>
    <row r="39" spans="1:19" x14ac:dyDescent="0.35">
      <c r="C39" t="s">
        <v>16</v>
      </c>
      <c r="D39" t="s">
        <v>17</v>
      </c>
      <c r="F39" t="s">
        <v>16</v>
      </c>
      <c r="G39" t="s">
        <v>17</v>
      </c>
      <c r="J39" t="s">
        <v>16</v>
      </c>
    </row>
    <row r="40" spans="1:19" x14ac:dyDescent="0.35">
      <c r="C40" t="s">
        <v>11</v>
      </c>
      <c r="D40" t="s">
        <v>12</v>
      </c>
      <c r="F40" t="s">
        <v>18</v>
      </c>
      <c r="G40" t="s">
        <v>17</v>
      </c>
      <c r="J40" t="s">
        <v>21</v>
      </c>
      <c r="K40">
        <f>SQRT(3)</f>
        <v>1.7320508075688772</v>
      </c>
      <c r="L40" t="s">
        <v>22</v>
      </c>
      <c r="M40" t="s">
        <v>23</v>
      </c>
      <c r="N40" t="s">
        <v>24</v>
      </c>
      <c r="O40">
        <v>0</v>
      </c>
      <c r="P40">
        <v>0</v>
      </c>
      <c r="Q40">
        <v>0</v>
      </c>
    </row>
    <row r="41" spans="1:19" x14ac:dyDescent="0.35">
      <c r="C41" t="s">
        <v>0</v>
      </c>
      <c r="D41" t="s">
        <v>13</v>
      </c>
      <c r="F41" t="s">
        <v>19</v>
      </c>
      <c r="G41" t="s">
        <v>20</v>
      </c>
      <c r="J41" t="s">
        <v>22</v>
      </c>
      <c r="K41">
        <f>1/SQRT(3)</f>
        <v>0.57735026918962584</v>
      </c>
      <c r="L41" t="s">
        <v>22</v>
      </c>
      <c r="O41">
        <v>0</v>
      </c>
    </row>
    <row r="42" spans="1:19" x14ac:dyDescent="0.35">
      <c r="C42" t="s">
        <v>2</v>
      </c>
      <c r="D42" t="s">
        <v>14</v>
      </c>
      <c r="J42" t="s">
        <v>23</v>
      </c>
      <c r="K42">
        <f t="shared" ref="K42:K43" si="29">1/SQRT(3)</f>
        <v>0.57735026918962584</v>
      </c>
      <c r="M42" t="s">
        <v>23</v>
      </c>
      <c r="P42">
        <v>0</v>
      </c>
    </row>
    <row r="43" spans="1:19" x14ac:dyDescent="0.35">
      <c r="C43" t="s">
        <v>1</v>
      </c>
      <c r="D43" t="s">
        <v>15</v>
      </c>
      <c r="J43" t="s">
        <v>24</v>
      </c>
      <c r="K43">
        <f t="shared" si="29"/>
        <v>0.57735026918962584</v>
      </c>
      <c r="N43" t="s">
        <v>24</v>
      </c>
      <c r="Q43">
        <v>0</v>
      </c>
    </row>
    <row r="44" spans="1:19" x14ac:dyDescent="0.35">
      <c r="J44" t="s">
        <v>25</v>
      </c>
      <c r="K44">
        <v>1</v>
      </c>
      <c r="L44" t="s">
        <v>22</v>
      </c>
      <c r="M44" t="s">
        <v>23</v>
      </c>
      <c r="O44">
        <v>30</v>
      </c>
      <c r="P44">
        <v>-30</v>
      </c>
    </row>
    <row r="45" spans="1:19" x14ac:dyDescent="0.35">
      <c r="J45" t="s">
        <v>26</v>
      </c>
      <c r="K45">
        <v>1</v>
      </c>
      <c r="M45" t="s">
        <v>23</v>
      </c>
      <c r="N45" t="s">
        <v>24</v>
      </c>
      <c r="P45">
        <v>30</v>
      </c>
      <c r="Q45">
        <v>-30</v>
      </c>
    </row>
    <row r="46" spans="1:19" x14ac:dyDescent="0.35">
      <c r="J46" t="s">
        <v>27</v>
      </c>
      <c r="K46">
        <v>1</v>
      </c>
      <c r="L46" t="s">
        <v>22</v>
      </c>
      <c r="N46" t="s">
        <v>24</v>
      </c>
      <c r="O46">
        <v>-30</v>
      </c>
      <c r="Q46">
        <v>30</v>
      </c>
    </row>
  </sheetData>
  <mergeCells count="19">
    <mergeCell ref="O28:O29"/>
    <mergeCell ref="O30:O31"/>
    <mergeCell ref="Q28:Q29"/>
    <mergeCell ref="Q30:Q31"/>
    <mergeCell ref="D30:E31"/>
    <mergeCell ref="B30:C31"/>
    <mergeCell ref="B27:C28"/>
    <mergeCell ref="D27:E28"/>
    <mergeCell ref="K28:K29"/>
    <mergeCell ref="K30:K31"/>
    <mergeCell ref="F27:H31"/>
    <mergeCell ref="M28:M29"/>
    <mergeCell ref="M30:M31"/>
    <mergeCell ref="E11:F11"/>
    <mergeCell ref="H11:I11"/>
    <mergeCell ref="I27:L27"/>
    <mergeCell ref="M27:N27"/>
    <mergeCell ref="O27:P27"/>
    <mergeCell ref="Q27:R27"/>
  </mergeCells>
  <phoneticPr fontId="3" type="noConversion"/>
  <dataValidations count="3">
    <dataValidation type="list" allowBlank="1" showInputMessage="1" showErrorMessage="1" sqref="D12:D26" xr:uid="{BE84AC2F-626B-4593-8FB2-2232A9859612}">
      <formula1>$C$39:$C$43</formula1>
    </dataValidation>
    <dataValidation type="list" allowBlank="1" showInputMessage="1" showErrorMessage="1" sqref="G12:G26" xr:uid="{6E76F6AE-5410-4C0A-A3DE-53D1FDF1F2A3}">
      <formula1>$F$39:$F$41</formula1>
    </dataValidation>
    <dataValidation type="list" allowBlank="1" showInputMessage="1" showErrorMessage="1" sqref="J12:J26" xr:uid="{2F435579-D5A4-42B8-B193-F6848D7540CC}">
      <formula1>$J$39:$J$46</formula1>
    </dataValidation>
  </dataValidations>
  <pageMargins left="0.7" right="0.7" top="0.75" bottom="0.75" header="0.3" footer="0.3"/>
  <pageSetup orientation="portrait" r:id="rId1"/>
  <ignoredErrors>
    <ignoredError sqref="N28:N29 N31 O30 P31 P28:P29 Q30:R30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Magnus Overby</dc:creator>
  <cp:lastModifiedBy>Magnus Overby</cp:lastModifiedBy>
  <dcterms:created xsi:type="dcterms:W3CDTF">2022-12-17T18:20:25Z</dcterms:created>
  <dcterms:modified xsi:type="dcterms:W3CDTF">2022-12-17T22:37:58Z</dcterms:modified>
</cp:coreProperties>
</file>