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J:\2534\2_Master File\B-70_Programming\01_Program &amp; Analysis\"/>
    </mc:Choice>
  </mc:AlternateContent>
  <xr:revisionPtr revIDLastSave="0" documentId="13_ncr:1_{D31E3EFA-3287-45B7-8C64-670AB054E30F}" xr6:coauthVersionLast="47" xr6:coauthVersionMax="47" xr10:uidLastSave="{00000000-0000-0000-0000-000000000000}"/>
  <bookViews>
    <workbookView minimized="1" xWindow="-20010" yWindow="330" windowWidth="19230" windowHeight="16770" firstSheet="1" activeTab="1" xr2:uid="{42EF083C-F78A-4F0E-A35A-0B3301F7686B}"/>
  </bookViews>
  <sheets>
    <sheet name="Campus MASTER PLAN" sheetId="108" r:id="rId1"/>
    <sheet name="Hospital Program TARGET_DESIGN" sheetId="107" r:id="rId2"/>
    <sheet name="OR &amp; Procedure - Chunks" sheetId="111" r:id="rId3"/>
    <sheet name="Hospital Program per Floor" sheetId="109" r:id="rId4"/>
    <sheet name="Load Assumptions (SEQRA)" sheetId="110" r:id="rId5"/>
  </sheets>
  <externalReferences>
    <externalReference r:id="rId6"/>
  </externalReferences>
  <definedNames>
    <definedName name="AmDGSF">#REF!</definedName>
    <definedName name="careareas">#REF!</definedName>
    <definedName name="CCbeds">#REF!</definedName>
    <definedName name="Comparison">#REF!</definedName>
    <definedName name="CVDGSF">#REF!</definedName>
    <definedName name="EDDGSF">#REF!</definedName>
    <definedName name="EDDGSF2">#REF!</definedName>
    <definedName name="ICUBeds">#REF!</definedName>
    <definedName name="ICUFlrs">#REF!</definedName>
    <definedName name="ImDGSF">#REF!</definedName>
    <definedName name="merge_loc">#REF!</definedName>
    <definedName name="MSBeds">#REF!</definedName>
    <definedName name="MSFlrs">#REF!</definedName>
    <definedName name="OncDGSF">#REF!</definedName>
    <definedName name="PCUFlrs">#REF!</definedName>
    <definedName name="PedsBeds">#REF!</definedName>
    <definedName name="PodQuantiity">#REF!</definedName>
    <definedName name="PodQuantity">#REF!</definedName>
    <definedName name="_xlnm.Print_Area" localSheetId="0">'Campus MASTER PLAN'!$A$1:$S$95</definedName>
    <definedName name="_xlnm.Print_Area" localSheetId="1">'Hospital Program TARGET_DESIGN'!$A$1:$Q$192</definedName>
    <definedName name="_xlnm.Print_Area" localSheetId="4">'Load Assumptions (SEQRA)'!$A$1:$Z$141</definedName>
    <definedName name="_xlnm.Print_Titles" localSheetId="4">'Load Assumptions (SEQRA)'!$3:$7</definedName>
    <definedName name="PrivBeds">#REF!</definedName>
    <definedName name="PTDGSF">#REF!</definedName>
    <definedName name="RXDGSF">#REF!</definedName>
    <definedName name="SURGDGSF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4" i="107" l="1"/>
  <c r="P117" i="107"/>
  <c r="P112" i="107"/>
  <c r="P111" i="107" s="1"/>
  <c r="M124" i="107"/>
  <c r="AD124" i="107" s="1"/>
  <c r="M117" i="107"/>
  <c r="M112" i="107"/>
  <c r="Y112" i="107" s="1"/>
  <c r="BT124" i="107"/>
  <c r="BE124" i="107"/>
  <c r="AX124" i="107"/>
  <c r="AO124" i="107"/>
  <c r="AJ124" i="107"/>
  <c r="M111" i="107" l="1"/>
  <c r="T112" i="107"/>
  <c r="T124" i="107"/>
  <c r="Y124" i="107"/>
  <c r="P80" i="107" l="1"/>
  <c r="P87" i="107"/>
  <c r="P63" i="107"/>
  <c r="P132" i="107"/>
  <c r="P137" i="107"/>
  <c r="P135" i="107" s="1"/>
  <c r="M135" i="107"/>
  <c r="L81" i="107" l="1"/>
  <c r="BE73" i="107" l="1"/>
  <c r="AX73" i="107"/>
  <c r="AH73" i="107"/>
  <c r="O52" i="107"/>
  <c r="O43" i="107"/>
  <c r="O40" i="107"/>
  <c r="K7" i="107"/>
  <c r="L7" i="107" s="1"/>
  <c r="M130" i="107"/>
  <c r="M152" i="107"/>
  <c r="P140" i="107"/>
  <c r="M140" i="107"/>
  <c r="M82" i="107"/>
  <c r="K57" i="107"/>
  <c r="O57" i="107" s="1"/>
  <c r="M129" i="107" l="1"/>
  <c r="M80" i="107"/>
  <c r="L82" i="107"/>
  <c r="O7" i="107"/>
  <c r="AJ140" i="107" l="1"/>
  <c r="T140" i="107"/>
  <c r="AD140" i="107"/>
  <c r="Y140" i="107"/>
  <c r="P156" i="107" l="1"/>
  <c r="P155" i="107"/>
  <c r="P105" i="107"/>
  <c r="P100" i="107"/>
  <c r="P95" i="107"/>
  <c r="P6" i="107"/>
  <c r="P28" i="107"/>
  <c r="P14" i="107" s="1"/>
  <c r="K20" i="107"/>
  <c r="O20" i="107" s="1"/>
  <c r="L180" i="107"/>
  <c r="P152" i="107" l="1"/>
  <c r="P129" i="107" s="1"/>
  <c r="P94" i="107"/>
  <c r="P79" i="107"/>
  <c r="K28" i="107"/>
  <c r="O28" i="107" s="1"/>
  <c r="C38" i="111"/>
  <c r="D40" i="111" s="1"/>
  <c r="C29" i="111"/>
  <c r="D33" i="111" s="1"/>
  <c r="D26" i="111"/>
  <c r="D25" i="111"/>
  <c r="C24" i="111"/>
  <c r="D24" i="111" s="1"/>
  <c r="D23" i="111"/>
  <c r="D22" i="111"/>
  <c r="C19" i="111"/>
  <c r="D19" i="111" s="1"/>
  <c r="D18" i="111"/>
  <c r="D17" i="111"/>
  <c r="C13" i="111"/>
  <c r="C8" i="111" s="1"/>
  <c r="D12" i="111" s="1"/>
  <c r="E10" i="111"/>
  <c r="P172" i="107" l="1"/>
  <c r="D13" i="111"/>
  <c r="D9" i="111"/>
  <c r="D30" i="111"/>
  <c r="D35" i="111"/>
  <c r="D41" i="111"/>
  <c r="D10" i="111"/>
  <c r="D14" i="111"/>
  <c r="D31" i="111"/>
  <c r="D38" i="111"/>
  <c r="D42" i="111"/>
  <c r="D8" i="111"/>
  <c r="D29" i="111"/>
  <c r="D39" i="111"/>
  <c r="D43" i="111"/>
  <c r="D32" i="111"/>
  <c r="D11" i="111"/>
  <c r="C64" i="111"/>
  <c r="C66" i="111" s="1"/>
  <c r="D34" i="111"/>
  <c r="M45" i="107" l="1"/>
  <c r="E64" i="110"/>
  <c r="I64" i="110" s="1"/>
  <c r="I65" i="110" s="1"/>
  <c r="I69" i="110" s="1"/>
  <c r="E65" i="110"/>
  <c r="Q65" i="110" s="1"/>
  <c r="Q69" i="110" s="1"/>
  <c r="M64" i="110"/>
  <c r="M65" i="110" s="1"/>
  <c r="I31" i="110"/>
  <c r="M31" i="110"/>
  <c r="E69" i="110" l="1"/>
  <c r="M69" i="110"/>
  <c r="E19" i="110"/>
  <c r="H22" i="109"/>
  <c r="J22" i="109"/>
  <c r="P17" i="109"/>
  <c r="P20" i="109"/>
  <c r="P21" i="109"/>
  <c r="T23" i="109"/>
  <c r="S24" i="109"/>
  <c r="S23" i="109"/>
  <c r="S22" i="109"/>
  <c r="Q22" i="109"/>
  <c r="Q23" i="109"/>
  <c r="R23" i="109"/>
  <c r="R22" i="109"/>
  <c r="M23" i="110"/>
  <c r="I23" i="110"/>
  <c r="AJ80" i="107"/>
  <c r="M87" i="107"/>
  <c r="AJ87" i="107" s="1"/>
  <c r="M8" i="107"/>
  <c r="AJ8" i="107" s="1"/>
  <c r="M37" i="107"/>
  <c r="AJ158" i="107"/>
  <c r="N22" i="109" l="1"/>
  <c r="L22" i="109"/>
  <c r="G22" i="109" s="1"/>
  <c r="M79" i="107"/>
  <c r="BA158" i="107"/>
  <c r="AX63" i="107"/>
  <c r="AX57" i="107"/>
  <c r="BE57" i="107"/>
  <c r="AX129" i="107"/>
  <c r="AX117" i="107"/>
  <c r="AX112" i="107" s="1"/>
  <c r="AX94" i="107"/>
  <c r="AX79" i="107"/>
  <c r="AX14" i="107"/>
  <c r="AX6" i="107"/>
  <c r="AJ79" i="107" l="1"/>
  <c r="E22" i="109"/>
  <c r="AX111" i="107"/>
  <c r="AX56" i="107"/>
  <c r="AX176" i="107" l="1"/>
  <c r="AX182" i="107" s="1"/>
  <c r="AO160" i="107"/>
  <c r="T160" i="107"/>
  <c r="AS162" i="107"/>
  <c r="AS170" i="107"/>
  <c r="AS169" i="107"/>
  <c r="AS168" i="107"/>
  <c r="AS167" i="107"/>
  <c r="AS166" i="107"/>
  <c r="AS165" i="107"/>
  <c r="AS164" i="107"/>
  <c r="AS163" i="107"/>
  <c r="M52" i="110"/>
  <c r="I52" i="110"/>
  <c r="AX183" i="107" l="1"/>
  <c r="AX186" i="107" s="1"/>
  <c r="BA182" i="107"/>
  <c r="AO57" i="107" l="1"/>
  <c r="AO129" i="107"/>
  <c r="BE63" i="107"/>
  <c r="BE56" i="107" s="1"/>
  <c r="K12" i="109" l="1"/>
  <c r="K20" i="109"/>
  <c r="K19" i="109"/>
  <c r="K18" i="109"/>
  <c r="K15" i="109"/>
  <c r="K13" i="109"/>
  <c r="AJ130" i="107"/>
  <c r="M105" i="107"/>
  <c r="M100" i="107"/>
  <c r="M95" i="107"/>
  <c r="AD143" i="107"/>
  <c r="AD131" i="107"/>
  <c r="Y143" i="107"/>
  <c r="Y131" i="107"/>
  <c r="Y150" i="107"/>
  <c r="AD150" i="107"/>
  <c r="AD156" i="107"/>
  <c r="Y156" i="107"/>
  <c r="T156" i="107"/>
  <c r="AS156" i="107" s="1"/>
  <c r="T150" i="107"/>
  <c r="AS150" i="107" s="1"/>
  <c r="T143" i="107"/>
  <c r="AS143" i="107" s="1"/>
  <c r="T131" i="107"/>
  <c r="AS131" i="107" s="1"/>
  <c r="AJ95" i="107" l="1"/>
  <c r="T100" i="107"/>
  <c r="AJ100" i="107"/>
  <c r="T105" i="107"/>
  <c r="AJ105" i="107"/>
  <c r="T130" i="107"/>
  <c r="AD130" i="107"/>
  <c r="M94" i="107"/>
  <c r="Y95" i="107"/>
  <c r="AD95" i="107"/>
  <c r="T95" i="107"/>
  <c r="Y100" i="107"/>
  <c r="Y105" i="107"/>
  <c r="AD105" i="107"/>
  <c r="AD100" i="107"/>
  <c r="Y130" i="107"/>
  <c r="BA94" i="107" l="1"/>
  <c r="AJ94" i="107"/>
  <c r="Y87" i="107"/>
  <c r="AD87" i="107"/>
  <c r="T87" i="107"/>
  <c r="T83" i="107" l="1"/>
  <c r="Y83" i="107"/>
  <c r="AD83" i="107"/>
  <c r="AD85" i="107"/>
  <c r="Y85" i="107"/>
  <c r="T85" i="107"/>
  <c r="AS85" i="107" s="1"/>
  <c r="M53" i="107" l="1"/>
  <c r="Y53" i="107" s="1"/>
  <c r="AS9" i="107"/>
  <c r="AD158" i="107"/>
  <c r="AD46" i="107"/>
  <c r="AD45" i="107"/>
  <c r="AD33" i="107"/>
  <c r="Y158" i="107"/>
  <c r="Y46" i="107"/>
  <c r="Y45" i="107"/>
  <c r="Y33" i="107"/>
  <c r="I63" i="107"/>
  <c r="I57" i="107"/>
  <c r="H57" i="107"/>
  <c r="H56" i="107" s="1"/>
  <c r="I52" i="107"/>
  <c r="I49" i="107" s="1"/>
  <c r="H52" i="107"/>
  <c r="H49" i="107" s="1"/>
  <c r="I43" i="107"/>
  <c r="H43" i="107"/>
  <c r="I40" i="107"/>
  <c r="H40" i="107"/>
  <c r="I36" i="107"/>
  <c r="H36" i="107"/>
  <c r="I28" i="107"/>
  <c r="I20" i="107" s="1"/>
  <c r="H28" i="107"/>
  <c r="H20" i="107" s="1"/>
  <c r="I15" i="107"/>
  <c r="H15" i="107"/>
  <c r="I11" i="107"/>
  <c r="H11" i="107"/>
  <c r="I7" i="107"/>
  <c r="H7" i="107"/>
  <c r="K63" i="107"/>
  <c r="M61" i="107"/>
  <c r="AD61" i="107" l="1"/>
  <c r="AD53" i="107"/>
  <c r="Y61" i="107"/>
  <c r="I56" i="107"/>
  <c r="K56" i="107"/>
  <c r="T61" i="107"/>
  <c r="AS61" i="107" s="1"/>
  <c r="L112" i="107" l="1"/>
  <c r="L122" i="107"/>
  <c r="O150" i="107"/>
  <c r="L124" i="107"/>
  <c r="O124" i="107"/>
  <c r="L137" i="107"/>
  <c r="L135" i="107"/>
  <c r="O135" i="107"/>
  <c r="O137" i="107"/>
  <c r="L96" i="107"/>
  <c r="L90" i="107"/>
  <c r="L89" i="107"/>
  <c r="L88" i="107"/>
  <c r="L85" i="107"/>
  <c r="L107" i="107"/>
  <c r="L97" i="107"/>
  <c r="L92" i="107"/>
  <c r="L91" i="107"/>
  <c r="L119" i="107"/>
  <c r="L113" i="107"/>
  <c r="L126" i="107"/>
  <c r="L114" i="107"/>
  <c r="L84" i="107"/>
  <c r="L108" i="107"/>
  <c r="L103" i="107"/>
  <c r="L98" i="107"/>
  <c r="L125" i="107"/>
  <c r="L109" i="107"/>
  <c r="L102" i="107"/>
  <c r="L115" i="107"/>
  <c r="L101" i="107"/>
  <c r="O136" i="107"/>
  <c r="O119" i="107"/>
  <c r="O96" i="107"/>
  <c r="O91" i="107"/>
  <c r="O121" i="107"/>
  <c r="O114" i="107"/>
  <c r="O107" i="107"/>
  <c r="O120" i="107"/>
  <c r="O103" i="107"/>
  <c r="O84" i="107"/>
  <c r="O145" i="107"/>
  <c r="O81" i="107"/>
  <c r="O141" i="107"/>
  <c r="O113" i="107"/>
  <c r="O106" i="107"/>
  <c r="O118" i="107"/>
  <c r="O146" i="107"/>
  <c r="O127" i="107"/>
  <c r="O126" i="107"/>
  <c r="O125" i="107"/>
  <c r="O115" i="107"/>
  <c r="O92" i="107"/>
  <c r="O88" i="107"/>
  <c r="O151" i="107"/>
  <c r="O149" i="107"/>
  <c r="O85" i="107"/>
  <c r="O101" i="107"/>
  <c r="O144" i="107"/>
  <c r="O98" i="107"/>
  <c r="O154" i="107"/>
  <c r="O109" i="107"/>
  <c r="O90" i="107"/>
  <c r="O153" i="107"/>
  <c r="O108" i="107"/>
  <c r="O89" i="107"/>
  <c r="O102" i="107"/>
  <c r="O83" i="107"/>
  <c r="O142" i="107"/>
  <c r="O97" i="107"/>
  <c r="O147" i="107"/>
  <c r="O140" i="107"/>
  <c r="O131" i="107"/>
  <c r="O112" i="107"/>
  <c r="O87" i="107"/>
  <c r="O156" i="107"/>
  <c r="O155" i="107"/>
  <c r="O132" i="107"/>
  <c r="O95" i="107"/>
  <c r="O105" i="107"/>
  <c r="O100" i="107"/>
  <c r="O117" i="107"/>
  <c r="O80" i="107"/>
  <c r="O94" i="107"/>
  <c r="O129" i="107"/>
  <c r="O130" i="107"/>
  <c r="O111" i="107"/>
  <c r="O79" i="107"/>
  <c r="O152" i="107"/>
  <c r="L152" i="107"/>
  <c r="L140" i="107"/>
  <c r="L130" i="107"/>
  <c r="L80" i="107"/>
  <c r="L129" i="107"/>
  <c r="L87" i="107"/>
  <c r="L79" i="107"/>
  <c r="L100" i="107"/>
  <c r="L105" i="107"/>
  <c r="L95" i="107"/>
  <c r="L94" i="107"/>
  <c r="L131" i="107"/>
  <c r="L149" i="107"/>
  <c r="L156" i="107"/>
  <c r="L146" i="107"/>
  <c r="L121" i="107"/>
  <c r="L154" i="107"/>
  <c r="L136" i="107"/>
  <c r="L147" i="107"/>
  <c r="L155" i="107"/>
  <c r="L142" i="107"/>
  <c r="L120" i="107"/>
  <c r="L141" i="107"/>
  <c r="L132" i="107"/>
  <c r="L127" i="107"/>
  <c r="L153" i="107"/>
  <c r="L118" i="107"/>
  <c r="L145" i="107"/>
  <c r="L144" i="107"/>
  <c r="L143" i="107"/>
  <c r="L150" i="107"/>
  <c r="L106" i="107"/>
  <c r="E52" i="110" l="1"/>
  <c r="Q48" i="110"/>
  <c r="Q52" i="110" s="1"/>
  <c r="P87" i="108"/>
  <c r="P23" i="108"/>
  <c r="E23" i="108"/>
  <c r="I21" i="108"/>
  <c r="S21" i="108" s="1"/>
  <c r="I125" i="110"/>
  <c r="I139" i="110" s="1"/>
  <c r="E125" i="110"/>
  <c r="E139" i="110" s="1"/>
  <c r="Q125" i="110"/>
  <c r="Q139" i="110" s="1"/>
  <c r="M125" i="110"/>
  <c r="M139" i="110" s="1"/>
  <c r="E82" i="110"/>
  <c r="E83" i="110" s="1"/>
  <c r="Q83" i="110" s="1"/>
  <c r="C75" i="110"/>
  <c r="I75" i="110" s="1"/>
  <c r="E42" i="110"/>
  <c r="I42" i="110" s="1"/>
  <c r="E41" i="110"/>
  <c r="Q41" i="110" s="1"/>
  <c r="E40" i="110"/>
  <c r="Q40" i="110" s="1"/>
  <c r="C39" i="110"/>
  <c r="I39" i="110" s="1"/>
  <c r="E39" i="110"/>
  <c r="Q39" i="110" s="1"/>
  <c r="C10" i="110"/>
  <c r="I10" i="110" s="1"/>
  <c r="K88" i="110"/>
  <c r="K86" i="110"/>
  <c r="K82" i="110"/>
  <c r="K78" i="110"/>
  <c r="I78" i="110"/>
  <c r="K77" i="110"/>
  <c r="M77" i="110" s="1"/>
  <c r="I77" i="110"/>
  <c r="K76" i="110"/>
  <c r="M76" i="110" s="1"/>
  <c r="I76" i="110"/>
  <c r="K75" i="110"/>
  <c r="K60" i="110"/>
  <c r="K57" i="110"/>
  <c r="K42" i="110"/>
  <c r="K41" i="110"/>
  <c r="K40" i="110"/>
  <c r="K39" i="110"/>
  <c r="E32" i="110"/>
  <c r="Q32" i="110" s="1"/>
  <c r="Q36" i="110" s="1"/>
  <c r="Q108" i="110" s="1"/>
  <c r="M32" i="110"/>
  <c r="M36" i="110" s="1"/>
  <c r="M108" i="110" s="1"/>
  <c r="I32" i="110"/>
  <c r="I36" i="110" s="1"/>
  <c r="I108" i="110" s="1"/>
  <c r="K27" i="110"/>
  <c r="K26" i="110"/>
  <c r="K13" i="110"/>
  <c r="K12" i="110"/>
  <c r="K11" i="110"/>
  <c r="K10" i="110"/>
  <c r="D68" i="109"/>
  <c r="D53" i="109"/>
  <c r="E77" i="109"/>
  <c r="E27" i="110" s="1"/>
  <c r="E62" i="109"/>
  <c r="E26" i="110" s="1"/>
  <c r="D62" i="109"/>
  <c r="H53" i="109"/>
  <c r="F54" i="109"/>
  <c r="F55" i="109"/>
  <c r="H55" i="109" s="1"/>
  <c r="F56" i="109"/>
  <c r="F57" i="109"/>
  <c r="F58" i="109"/>
  <c r="F59" i="109"/>
  <c r="F61" i="109"/>
  <c r="F60" i="109"/>
  <c r="F76" i="109"/>
  <c r="F69" i="109"/>
  <c r="F75" i="109"/>
  <c r="F74" i="109"/>
  <c r="F73" i="109"/>
  <c r="F72" i="109"/>
  <c r="F71" i="109"/>
  <c r="F70" i="109"/>
  <c r="H68" i="109"/>
  <c r="F45" i="109"/>
  <c r="F46" i="109"/>
  <c r="F44" i="109"/>
  <c r="O23" i="109"/>
  <c r="P24" i="109"/>
  <c r="AO7" i="107"/>
  <c r="T53" i="107"/>
  <c r="AS53" i="107" s="1"/>
  <c r="T46" i="107"/>
  <c r="AS46" i="107" s="1"/>
  <c r="T45" i="107"/>
  <c r="AS45" i="107" s="1"/>
  <c r="T33" i="107"/>
  <c r="AS33" i="107" s="1"/>
  <c r="T158" i="107"/>
  <c r="U34" i="109" l="1"/>
  <c r="AS158" i="107"/>
  <c r="I23" i="108"/>
  <c r="I87" i="108" s="1"/>
  <c r="F62" i="109"/>
  <c r="M75" i="110"/>
  <c r="E43" i="110"/>
  <c r="E54" i="110" s="1"/>
  <c r="M39" i="110"/>
  <c r="I82" i="110"/>
  <c r="I83" i="110" s="1"/>
  <c r="M82" i="110"/>
  <c r="M83" i="110" s="1"/>
  <c r="Q42" i="110"/>
  <c r="Q43" i="110" s="1"/>
  <c r="Q54" i="110" s="1"/>
  <c r="I41" i="110"/>
  <c r="I40" i="110"/>
  <c r="M40" i="110"/>
  <c r="M41" i="110"/>
  <c r="E28" i="110"/>
  <c r="Q28" i="110" s="1"/>
  <c r="M10" i="110"/>
  <c r="M42" i="110"/>
  <c r="M27" i="110"/>
  <c r="I79" i="110"/>
  <c r="E36" i="110"/>
  <c r="E108" i="110" s="1"/>
  <c r="M26" i="110"/>
  <c r="I27" i="110"/>
  <c r="I26" i="110"/>
  <c r="M78" i="110"/>
  <c r="E79" i="110"/>
  <c r="F77" i="109"/>
  <c r="M79" i="110" l="1"/>
  <c r="I43" i="110"/>
  <c r="I54" i="110" s="1"/>
  <c r="M43" i="110"/>
  <c r="M54" i="110" s="1"/>
  <c r="I28" i="110"/>
  <c r="M28" i="110"/>
  <c r="Q79" i="110"/>
  <c r="N17" i="109" l="1"/>
  <c r="M60" i="107"/>
  <c r="AD60" i="107" s="1"/>
  <c r="M59" i="107"/>
  <c r="AD59" i="107" s="1"/>
  <c r="M58" i="107"/>
  <c r="M44" i="107"/>
  <c r="O26" i="109"/>
  <c r="O28" i="109" s="1"/>
  <c r="U31" i="109"/>
  <c r="AO117" i="107"/>
  <c r="AO112" i="107" s="1"/>
  <c r="AO94" i="107"/>
  <c r="AO79" i="107"/>
  <c r="AO43" i="107"/>
  <c r="AO52" i="107"/>
  <c r="AO49" i="107"/>
  <c r="AO40" i="107"/>
  <c r="AO36" i="107"/>
  <c r="AO28" i="107"/>
  <c r="AO20" i="107" s="1"/>
  <c r="AO15" i="107"/>
  <c r="AO73" i="107" s="1"/>
  <c r="AO11" i="107"/>
  <c r="O84" i="109"/>
  <c r="H69" i="109"/>
  <c r="V86" i="109"/>
  <c r="U86" i="109"/>
  <c r="T86" i="109"/>
  <c r="S86" i="109"/>
  <c r="R86" i="109"/>
  <c r="Q86" i="109"/>
  <c r="P86" i="109"/>
  <c r="O86" i="109"/>
  <c r="N86" i="109"/>
  <c r="M86" i="109"/>
  <c r="K86" i="109"/>
  <c r="J86" i="109"/>
  <c r="I86" i="109"/>
  <c r="D86" i="109"/>
  <c r="V85" i="109"/>
  <c r="U85" i="109"/>
  <c r="T85" i="109"/>
  <c r="S85" i="109"/>
  <c r="R85" i="109"/>
  <c r="Q85" i="109"/>
  <c r="P85" i="109"/>
  <c r="O85" i="109"/>
  <c r="N85" i="109"/>
  <c r="M85" i="109"/>
  <c r="K85" i="109"/>
  <c r="J85" i="109"/>
  <c r="I85" i="109"/>
  <c r="D85" i="109"/>
  <c r="V84" i="109"/>
  <c r="U84" i="109"/>
  <c r="T84" i="109"/>
  <c r="S84" i="109"/>
  <c r="R84" i="109"/>
  <c r="Q84" i="109"/>
  <c r="P84" i="109"/>
  <c r="N84" i="109"/>
  <c r="M84" i="109"/>
  <c r="K84" i="109"/>
  <c r="J84" i="109"/>
  <c r="I84" i="109"/>
  <c r="H84" i="109"/>
  <c r="D84" i="109"/>
  <c r="V83" i="109"/>
  <c r="U83" i="109"/>
  <c r="T83" i="109"/>
  <c r="S83" i="109"/>
  <c r="M83" i="109"/>
  <c r="D83" i="109"/>
  <c r="F86" i="109"/>
  <c r="D77" i="109"/>
  <c r="H76" i="109"/>
  <c r="H75" i="109"/>
  <c r="H74" i="109"/>
  <c r="H73" i="109"/>
  <c r="H72" i="109"/>
  <c r="H71" i="109"/>
  <c r="H70" i="109"/>
  <c r="F85" i="109"/>
  <c r="E85" i="109"/>
  <c r="H61" i="109"/>
  <c r="H60" i="109"/>
  <c r="H59" i="109"/>
  <c r="H58" i="109"/>
  <c r="H57" i="109"/>
  <c r="H56" i="109"/>
  <c r="H54" i="109"/>
  <c r="H47" i="109"/>
  <c r="E47" i="109"/>
  <c r="D47" i="109"/>
  <c r="F43" i="109"/>
  <c r="F42" i="109"/>
  <c r="U26" i="109"/>
  <c r="U28" i="109" s="1"/>
  <c r="F26" i="109"/>
  <c r="D26" i="109"/>
  <c r="L25" i="109"/>
  <c r="J25" i="109"/>
  <c r="H25" i="109"/>
  <c r="J23" i="109"/>
  <c r="H23" i="109"/>
  <c r="J21" i="109"/>
  <c r="H21" i="109"/>
  <c r="N19" i="109"/>
  <c r="L19" i="109"/>
  <c r="N18" i="109"/>
  <c r="L18" i="109"/>
  <c r="N16" i="109"/>
  <c r="L16" i="109"/>
  <c r="N15" i="109"/>
  <c r="L15" i="109"/>
  <c r="N14" i="109"/>
  <c r="L14" i="109"/>
  <c r="N13" i="109"/>
  <c r="L13" i="109"/>
  <c r="N12" i="109"/>
  <c r="L12" i="109"/>
  <c r="N11" i="109"/>
  <c r="J11" i="109" s="1"/>
  <c r="E11" i="109"/>
  <c r="N10" i="109"/>
  <c r="J10" i="109" s="1"/>
  <c r="E10" i="109"/>
  <c r="N9" i="109"/>
  <c r="J9" i="109" s="1"/>
  <c r="AO63" i="107" l="1"/>
  <c r="U35" i="109"/>
  <c r="Y58" i="107"/>
  <c r="AD58" i="107"/>
  <c r="Y44" i="107"/>
  <c r="AD44" i="107"/>
  <c r="T60" i="107"/>
  <c r="AS60" i="107" s="1"/>
  <c r="Y60" i="107"/>
  <c r="T59" i="107"/>
  <c r="Y59" i="107"/>
  <c r="M57" i="107"/>
  <c r="L57" i="107" s="1"/>
  <c r="E84" i="109"/>
  <c r="U32" i="109"/>
  <c r="E11" i="110"/>
  <c r="H62" i="109"/>
  <c r="H85" i="109" s="1"/>
  <c r="H77" i="109"/>
  <c r="H86" i="109" s="1"/>
  <c r="E86" i="109"/>
  <c r="F83" i="109"/>
  <c r="E25" i="109"/>
  <c r="H83" i="109" s="1"/>
  <c r="S87" i="109"/>
  <c r="L24" i="109"/>
  <c r="G24" i="109" s="1"/>
  <c r="M87" i="109"/>
  <c r="T87" i="109"/>
  <c r="U87" i="109"/>
  <c r="V87" i="109"/>
  <c r="R83" i="109"/>
  <c r="R87" i="109" s="1"/>
  <c r="M43" i="107"/>
  <c r="L43" i="107" s="1"/>
  <c r="T44" i="107"/>
  <c r="AS44" i="107" s="1"/>
  <c r="T58" i="107"/>
  <c r="AS58" i="107" s="1"/>
  <c r="AO14" i="107"/>
  <c r="R26" i="109"/>
  <c r="R28" i="109" s="1"/>
  <c r="L17" i="109"/>
  <c r="P26" i="109"/>
  <c r="P28" i="109" s="1"/>
  <c r="E12" i="110" s="1"/>
  <c r="L21" i="109"/>
  <c r="G21" i="109" s="1"/>
  <c r="N21" i="109"/>
  <c r="T26" i="109"/>
  <c r="T28" i="109" s="1"/>
  <c r="Q26" i="109"/>
  <c r="Q28" i="109" s="1"/>
  <c r="N20" i="109"/>
  <c r="L20" i="109"/>
  <c r="D87" i="109"/>
  <c r="F47" i="109"/>
  <c r="F84" i="109" s="1"/>
  <c r="L23" i="109"/>
  <c r="G23" i="109" s="1"/>
  <c r="S26" i="109"/>
  <c r="S28" i="109" s="1"/>
  <c r="AO111" i="107"/>
  <c r="N23" i="109"/>
  <c r="N24" i="109"/>
  <c r="AO6" i="107"/>
  <c r="AO56" i="107" l="1"/>
  <c r="AO176" i="107" s="1"/>
  <c r="K17" i="109"/>
  <c r="K26" i="109" s="1"/>
  <c r="K28" i="109" s="1"/>
  <c r="AS59" i="107"/>
  <c r="K31" i="109"/>
  <c r="E13" i="110"/>
  <c r="F87" i="109"/>
  <c r="AD43" i="107"/>
  <c r="AJ43" i="107"/>
  <c r="Y57" i="107"/>
  <c r="AD57" i="107"/>
  <c r="T43" i="107"/>
  <c r="Y43" i="107"/>
  <c r="H15" i="109"/>
  <c r="J15" i="109"/>
  <c r="J18" i="109"/>
  <c r="H18" i="109"/>
  <c r="H19" i="109"/>
  <c r="J19" i="109"/>
  <c r="J16" i="109"/>
  <c r="H16" i="109"/>
  <c r="H20" i="109"/>
  <c r="E20" i="109" s="1"/>
  <c r="J20" i="109"/>
  <c r="J12" i="109"/>
  <c r="H12" i="109"/>
  <c r="J13" i="109"/>
  <c r="H13" i="109"/>
  <c r="J14" i="109"/>
  <c r="H14" i="109"/>
  <c r="E14" i="109" s="1"/>
  <c r="I11" i="110"/>
  <c r="M11" i="110"/>
  <c r="Q19" i="110"/>
  <c r="Q23" i="110" s="1"/>
  <c r="E23" i="110"/>
  <c r="H87" i="109"/>
  <c r="N83" i="109"/>
  <c r="N87" i="109" s="1"/>
  <c r="J83" i="109"/>
  <c r="J87" i="109" s="1"/>
  <c r="O83" i="109"/>
  <c r="O87" i="109" s="1"/>
  <c r="E21" i="109"/>
  <c r="Q83" i="109"/>
  <c r="Q87" i="109" s="1"/>
  <c r="E23" i="109"/>
  <c r="P83" i="109"/>
  <c r="P87" i="109" s="1"/>
  <c r="N26" i="109"/>
  <c r="L26" i="109"/>
  <c r="E24" i="109"/>
  <c r="H17" i="109" l="1"/>
  <c r="G17" i="109" s="1"/>
  <c r="J17" i="109"/>
  <c r="J26" i="109" s="1"/>
  <c r="F28" i="109" s="1"/>
  <c r="E10" i="110"/>
  <c r="E28" i="109"/>
  <c r="G20" i="109"/>
  <c r="E18" i="109"/>
  <c r="G18" i="109"/>
  <c r="K83" i="109"/>
  <c r="K87" i="109" s="1"/>
  <c r="I83" i="109"/>
  <c r="I87" i="109" s="1"/>
  <c r="E19" i="109"/>
  <c r="G19" i="109"/>
  <c r="E16" i="109"/>
  <c r="G16" i="109"/>
  <c r="G14" i="109"/>
  <c r="E13" i="109"/>
  <c r="G13" i="109"/>
  <c r="G15" i="109"/>
  <c r="E15" i="109"/>
  <c r="G12" i="109"/>
  <c r="E12" i="109"/>
  <c r="I12" i="110"/>
  <c r="M12" i="110"/>
  <c r="I13" i="110"/>
  <c r="M13" i="110"/>
  <c r="E17" i="109" l="1"/>
  <c r="H26" i="109"/>
  <c r="E26" i="109"/>
  <c r="I14" i="110"/>
  <c r="I35" i="110" s="1"/>
  <c r="M14" i="110"/>
  <c r="M35" i="110" s="1"/>
  <c r="G26" i="109"/>
  <c r="E14" i="110"/>
  <c r="E35" i="110" s="1"/>
  <c r="M107" i="110" l="1"/>
  <c r="M113" i="110" s="1"/>
  <c r="I107" i="110"/>
  <c r="I113" i="110" s="1"/>
  <c r="Q14" i="110"/>
  <c r="Q35" i="110" s="1"/>
  <c r="E83" i="109"/>
  <c r="E87" i="109" s="1"/>
  <c r="E107" i="110"/>
  <c r="P59" i="108"/>
  <c r="P82" i="108"/>
  <c r="P18" i="108"/>
  <c r="S23" i="108" s="1"/>
  <c r="P51" i="108"/>
  <c r="P75" i="108"/>
  <c r="Q107" i="110" l="1"/>
  <c r="Q113" i="110" s="1"/>
  <c r="P86" i="108"/>
  <c r="E113" i="110"/>
  <c r="S71" i="108"/>
  <c r="S69" i="108"/>
  <c r="S64" i="108"/>
  <c r="S47" i="108"/>
  <c r="S43" i="108"/>
  <c r="S36" i="108"/>
  <c r="S32" i="108"/>
  <c r="S28" i="108"/>
  <c r="S16" i="108"/>
  <c r="E14" i="108"/>
  <c r="E11" i="108"/>
  <c r="I75" i="108"/>
  <c r="S75" i="108" s="1"/>
  <c r="E59" i="108"/>
  <c r="E82" i="108"/>
  <c r="I51" i="108"/>
  <c r="I80" i="108"/>
  <c r="I79" i="108"/>
  <c r="I78" i="108"/>
  <c r="I57" i="108"/>
  <c r="I56" i="108"/>
  <c r="I55" i="108"/>
  <c r="I54" i="108"/>
  <c r="E58" i="110" l="1"/>
  <c r="S55" i="108"/>
  <c r="E86" i="110"/>
  <c r="S78" i="108"/>
  <c r="E57" i="110"/>
  <c r="S54" i="108"/>
  <c r="E59" i="110"/>
  <c r="S56" i="108"/>
  <c r="E60" i="110"/>
  <c r="S57" i="108"/>
  <c r="E87" i="110"/>
  <c r="S79" i="108"/>
  <c r="E88" i="110"/>
  <c r="S80" i="108"/>
  <c r="S51" i="108"/>
  <c r="I82" i="108"/>
  <c r="S82" i="108" s="1"/>
  <c r="I59" i="108"/>
  <c r="BH158" i="107"/>
  <c r="BE129" i="107"/>
  <c r="BE117" i="107"/>
  <c r="BE112" i="107"/>
  <c r="BE94" i="107"/>
  <c r="BE79" i="107"/>
  <c r="M31" i="107"/>
  <c r="K36" i="107"/>
  <c r="O36" i="107" s="1"/>
  <c r="Y81" i="107" l="1"/>
  <c r="AD81" i="107"/>
  <c r="Y31" i="107"/>
  <c r="AD31" i="107"/>
  <c r="I86" i="110"/>
  <c r="E89" i="110"/>
  <c r="M86" i="110"/>
  <c r="I88" i="110"/>
  <c r="M88" i="110"/>
  <c r="S87" i="108"/>
  <c r="S59" i="108"/>
  <c r="E61" i="110"/>
  <c r="E68" i="110" s="1"/>
  <c r="E71" i="110" s="1"/>
  <c r="I57" i="110"/>
  <c r="M57" i="110"/>
  <c r="I60" i="110"/>
  <c r="M60" i="110"/>
  <c r="T81" i="107"/>
  <c r="AS81" i="107" s="1"/>
  <c r="T31" i="107"/>
  <c r="AS31" i="107" s="1"/>
  <c r="E13" i="108"/>
  <c r="BE14" i="107"/>
  <c r="BE6" i="107"/>
  <c r="BE111" i="107"/>
  <c r="K70" i="107"/>
  <c r="K15" i="107"/>
  <c r="K49" i="107"/>
  <c r="O49" i="107" s="1"/>
  <c r="E12" i="108" l="1"/>
  <c r="O15" i="107"/>
  <c r="Q61" i="110"/>
  <c r="Q68" i="110" s="1"/>
  <c r="M89" i="110"/>
  <c r="M92" i="110" s="1"/>
  <c r="M130" i="110" s="1"/>
  <c r="M134" i="110" s="1"/>
  <c r="Q89" i="110"/>
  <c r="Q92" i="110" s="1"/>
  <c r="Q130" i="110" s="1"/>
  <c r="Q134" i="110" s="1"/>
  <c r="E92" i="110"/>
  <c r="E130" i="110" s="1"/>
  <c r="E134" i="110" s="1"/>
  <c r="M61" i="110"/>
  <c r="M68" i="110" s="1"/>
  <c r="I61" i="110"/>
  <c r="I68" i="110" s="1"/>
  <c r="I89" i="110"/>
  <c r="I92" i="110" s="1"/>
  <c r="I130" i="110" s="1"/>
  <c r="I134" i="110" s="1"/>
  <c r="I116" i="110" l="1"/>
  <c r="I71" i="110"/>
  <c r="I94" i="110" s="1"/>
  <c r="M116" i="110"/>
  <c r="M71" i="110"/>
  <c r="M94" i="110" s="1"/>
  <c r="E116" i="110"/>
  <c r="E123" i="110" s="1"/>
  <c r="E137" i="110" s="1"/>
  <c r="E94" i="110"/>
  <c r="Q116" i="110"/>
  <c r="Q71" i="110"/>
  <c r="Q94" i="110" s="1"/>
  <c r="Y90" i="107" l="1"/>
  <c r="AD90" i="107"/>
  <c r="Q120" i="110"/>
  <c r="Q123" i="110"/>
  <c r="E120" i="110"/>
  <c r="M120" i="110"/>
  <c r="M123" i="110"/>
  <c r="I120" i="110"/>
  <c r="I123" i="110"/>
  <c r="T90" i="107"/>
  <c r="AS90" i="107" s="1"/>
  <c r="AO186" i="107"/>
  <c r="BR186" i="107"/>
  <c r="M67" i="107"/>
  <c r="M66" i="107"/>
  <c r="M65" i="107"/>
  <c r="M64" i="107"/>
  <c r="M52" i="107"/>
  <c r="L52" i="107" s="1"/>
  <c r="M50" i="107"/>
  <c r="AD50" i="107" s="1"/>
  <c r="M26" i="107"/>
  <c r="M25" i="107"/>
  <c r="M24" i="107"/>
  <c r="M23" i="107"/>
  <c r="M22" i="107"/>
  <c r="M21" i="107"/>
  <c r="M41" i="107"/>
  <c r="M32" i="107"/>
  <c r="M30" i="107"/>
  <c r="M29" i="107"/>
  <c r="AD37" i="107"/>
  <c r="M18" i="107"/>
  <c r="M17" i="107"/>
  <c r="M16" i="107"/>
  <c r="M12" i="107"/>
  <c r="K11" i="107"/>
  <c r="O11" i="107" s="1"/>
  <c r="AD8" i="107"/>
  <c r="BR11" i="107"/>
  <c r="BT52" i="107"/>
  <c r="BS90" i="107"/>
  <c r="BS91" i="107"/>
  <c r="BS92" i="107"/>
  <c r="BS89" i="107"/>
  <c r="BS88" i="107"/>
  <c r="BS84" i="107"/>
  <c r="BS82" i="107"/>
  <c r="BS81" i="107"/>
  <c r="BS98" i="107"/>
  <c r="BT155" i="107"/>
  <c r="BT141" i="107"/>
  <c r="BT142" i="107"/>
  <c r="BT146" i="107"/>
  <c r="BT147" i="107"/>
  <c r="BT144" i="107"/>
  <c r="BT145" i="107"/>
  <c r="BT153" i="107"/>
  <c r="BT154" i="107"/>
  <c r="BT132" i="107"/>
  <c r="BS121" i="107"/>
  <c r="BS120" i="107"/>
  <c r="BS118" i="107"/>
  <c r="BS119" i="107"/>
  <c r="BS115" i="107"/>
  <c r="BS125" i="107"/>
  <c r="BS126" i="107"/>
  <c r="BS127" i="107"/>
  <c r="BS114" i="107"/>
  <c r="BS113" i="107"/>
  <c r="BT117" i="107"/>
  <c r="BT112" i="107" s="1"/>
  <c r="BS97" i="107"/>
  <c r="BS101" i="107"/>
  <c r="BS102" i="107"/>
  <c r="BS103" i="107"/>
  <c r="BS106" i="107"/>
  <c r="BS107" i="107"/>
  <c r="BS108" i="107"/>
  <c r="BS96" i="107"/>
  <c r="BT12" i="107"/>
  <c r="BT11" i="107" s="1"/>
  <c r="BT67" i="107"/>
  <c r="BT66" i="107"/>
  <c r="BT65" i="107"/>
  <c r="BT64" i="107"/>
  <c r="BT60" i="107"/>
  <c r="BR58" i="107"/>
  <c r="BR57" i="107" s="1"/>
  <c r="BR56" i="107" s="1"/>
  <c r="BT50" i="107"/>
  <c r="BT49" i="107" s="1"/>
  <c r="BT26" i="107"/>
  <c r="BT25" i="107"/>
  <c r="BT24" i="107"/>
  <c r="BT23" i="107"/>
  <c r="BT22" i="107"/>
  <c r="BT21" i="107"/>
  <c r="BT41" i="107"/>
  <c r="BT40" i="107" s="1"/>
  <c r="BT36" i="107" s="1"/>
  <c r="BR40" i="107"/>
  <c r="BT32" i="107"/>
  <c r="BT30" i="107"/>
  <c r="BT29" i="107"/>
  <c r="BT37" i="107"/>
  <c r="BT18" i="107"/>
  <c r="BT17" i="107"/>
  <c r="BT16" i="107"/>
  <c r="BT8" i="107"/>
  <c r="BT7" i="107" s="1"/>
  <c r="P56" i="107" l="1"/>
  <c r="F38" i="111"/>
  <c r="G38" i="111" s="1"/>
  <c r="M63" i="107"/>
  <c r="L63" i="107" s="1"/>
  <c r="M20" i="107"/>
  <c r="L20" i="107" s="1"/>
  <c r="F29" i="111"/>
  <c r="M28" i="107"/>
  <c r="AD29" i="107"/>
  <c r="AD12" i="107"/>
  <c r="AJ12" i="107"/>
  <c r="AD52" i="107"/>
  <c r="AJ52" i="107"/>
  <c r="AD41" i="107"/>
  <c r="Y41" i="107"/>
  <c r="T41" i="107"/>
  <c r="AS41" i="107" s="1"/>
  <c r="Y32" i="107"/>
  <c r="AD32" i="107"/>
  <c r="Y89" i="107"/>
  <c r="AD89" i="107"/>
  <c r="Y103" i="107"/>
  <c r="AD103" i="107"/>
  <c r="Y125" i="107"/>
  <c r="AD125" i="107"/>
  <c r="Y154" i="107"/>
  <c r="AD154" i="107"/>
  <c r="Y106" i="107"/>
  <c r="AD106" i="107"/>
  <c r="Y92" i="107"/>
  <c r="AD92" i="107"/>
  <c r="Y21" i="107"/>
  <c r="AD21" i="107"/>
  <c r="Y17" i="107"/>
  <c r="AD17" i="107"/>
  <c r="Y22" i="107"/>
  <c r="AD22" i="107"/>
  <c r="Y65" i="107"/>
  <c r="X74" i="107" s="1"/>
  <c r="AD65" i="107"/>
  <c r="AC74" i="107" s="1"/>
  <c r="Y96" i="107"/>
  <c r="AD96" i="107"/>
  <c r="Y108" i="107"/>
  <c r="AD108" i="107"/>
  <c r="Y118" i="107"/>
  <c r="AD118" i="107"/>
  <c r="Y146" i="107"/>
  <c r="AD146" i="107"/>
  <c r="Y91" i="107"/>
  <c r="AD91" i="107"/>
  <c r="Y127" i="107"/>
  <c r="AD127" i="107"/>
  <c r="Y18" i="107"/>
  <c r="AD18" i="107"/>
  <c r="Y66" i="107"/>
  <c r="AD66" i="107"/>
  <c r="Y97" i="107"/>
  <c r="AD97" i="107"/>
  <c r="Y113" i="107"/>
  <c r="AD113" i="107"/>
  <c r="Y147" i="107"/>
  <c r="AD147" i="107"/>
  <c r="Y155" i="107"/>
  <c r="AD155" i="107"/>
  <c r="Y16" i="107"/>
  <c r="AD16" i="107"/>
  <c r="Y64" i="107"/>
  <c r="AD64" i="107"/>
  <c r="Y24" i="107"/>
  <c r="AD24" i="107"/>
  <c r="Y67" i="107"/>
  <c r="AD67" i="107"/>
  <c r="Y98" i="107"/>
  <c r="AD98" i="107"/>
  <c r="Y114" i="107"/>
  <c r="AD114" i="107"/>
  <c r="Y120" i="107"/>
  <c r="AD120" i="107"/>
  <c r="Y144" i="107"/>
  <c r="AD144" i="107"/>
  <c r="Y126" i="107"/>
  <c r="AD126" i="107"/>
  <c r="Y142" i="107"/>
  <c r="AD142" i="107"/>
  <c r="Y25" i="107"/>
  <c r="AD25" i="107"/>
  <c r="Y84" i="107"/>
  <c r="AD84" i="107"/>
  <c r="Y101" i="107"/>
  <c r="AD101" i="107"/>
  <c r="Y119" i="107"/>
  <c r="AD119" i="107"/>
  <c r="Y121" i="107"/>
  <c r="AD121" i="107"/>
  <c r="Y145" i="107"/>
  <c r="AD145" i="107"/>
  <c r="Y141" i="107"/>
  <c r="AD141" i="107"/>
  <c r="Y107" i="107"/>
  <c r="AD107" i="107"/>
  <c r="Y23" i="107"/>
  <c r="AD23" i="107"/>
  <c r="Y30" i="107"/>
  <c r="AD30" i="107"/>
  <c r="Y26" i="107"/>
  <c r="AD26" i="107"/>
  <c r="Y88" i="107"/>
  <c r="AD88" i="107"/>
  <c r="Y102" i="107"/>
  <c r="AD102" i="107"/>
  <c r="Y115" i="107"/>
  <c r="AD115" i="107"/>
  <c r="Y132" i="107"/>
  <c r="AD132" i="107"/>
  <c r="Y153" i="107"/>
  <c r="AD153" i="107"/>
  <c r="T29" i="107"/>
  <c r="AS29" i="107" s="1"/>
  <c r="Y29" i="107"/>
  <c r="T8" i="107"/>
  <c r="AS8" i="107" s="1"/>
  <c r="Y8" i="107"/>
  <c r="T52" i="107"/>
  <c r="Y52" i="107"/>
  <c r="T50" i="107"/>
  <c r="AS50" i="107" s="1"/>
  <c r="Y50" i="107"/>
  <c r="T12" i="107"/>
  <c r="AS12" i="107" s="1"/>
  <c r="Y12" i="107"/>
  <c r="T37" i="107"/>
  <c r="AS37" i="107" s="1"/>
  <c r="Y37" i="107"/>
  <c r="I127" i="110"/>
  <c r="I137" i="110"/>
  <c r="I141" i="110" s="1"/>
  <c r="M127" i="110"/>
  <c r="M137" i="110"/>
  <c r="M141" i="110" s="1"/>
  <c r="E127" i="110"/>
  <c r="E141" i="110"/>
  <c r="Q127" i="110"/>
  <c r="Q137" i="110"/>
  <c r="Q141" i="110" s="1"/>
  <c r="T147" i="107"/>
  <c r="AS147" i="107" s="1"/>
  <c r="T146" i="107"/>
  <c r="AS146" i="107" s="1"/>
  <c r="T144" i="107"/>
  <c r="AS144" i="107" s="1"/>
  <c r="T96" i="107"/>
  <c r="AS96" i="107" s="1"/>
  <c r="T126" i="107"/>
  <c r="AS126" i="107" s="1"/>
  <c r="T32" i="107"/>
  <c r="AS32" i="107" s="1"/>
  <c r="T66" i="107"/>
  <c r="AS66" i="107" s="1"/>
  <c r="T102" i="107"/>
  <c r="AS102" i="107" s="1"/>
  <c r="T118" i="107"/>
  <c r="AS118" i="107" s="1"/>
  <c r="T153" i="107"/>
  <c r="AS153" i="107" s="1"/>
  <c r="T65" i="107"/>
  <c r="T154" i="107"/>
  <c r="AS154" i="107" s="1"/>
  <c r="T115" i="107"/>
  <c r="AS115" i="107" s="1"/>
  <c r="T67" i="107"/>
  <c r="AS67" i="107" s="1"/>
  <c r="BE176" i="107"/>
  <c r="BE182" i="107" s="1"/>
  <c r="BE183" i="107" s="1"/>
  <c r="BE186" i="107" s="1"/>
  <c r="T155" i="107"/>
  <c r="AS155" i="107" s="1"/>
  <c r="T18" i="107"/>
  <c r="AS18" i="107" s="1"/>
  <c r="T97" i="107"/>
  <c r="AS97" i="107" s="1"/>
  <c r="T21" i="107"/>
  <c r="AS21" i="107" s="1"/>
  <c r="T22" i="107"/>
  <c r="AS22" i="107" s="1"/>
  <c r="T84" i="107"/>
  <c r="AS84" i="107" s="1"/>
  <c r="T107" i="107"/>
  <c r="AS107" i="107" s="1"/>
  <c r="T121" i="107"/>
  <c r="AS121" i="107" s="1"/>
  <c r="T64" i="107"/>
  <c r="AS64" i="107" s="1"/>
  <c r="T30" i="107"/>
  <c r="AS30" i="107" s="1"/>
  <c r="T103" i="107"/>
  <c r="AS103" i="107" s="1"/>
  <c r="T23" i="107"/>
  <c r="AS23" i="107" s="1"/>
  <c r="T88" i="107"/>
  <c r="AS88" i="107" s="1"/>
  <c r="T108" i="107"/>
  <c r="AS108" i="107" s="1"/>
  <c r="T132" i="107"/>
  <c r="AS132" i="107" s="1"/>
  <c r="T125" i="107"/>
  <c r="AS125" i="107" s="1"/>
  <c r="T101" i="107"/>
  <c r="AS101" i="107" s="1"/>
  <c r="T120" i="107"/>
  <c r="AS120" i="107" s="1"/>
  <c r="T24" i="107"/>
  <c r="AS24" i="107" s="1"/>
  <c r="T89" i="107"/>
  <c r="AS89" i="107" s="1"/>
  <c r="T113" i="107"/>
  <c r="AS113" i="107" s="1"/>
  <c r="T98" i="107"/>
  <c r="AS98" i="107" s="1"/>
  <c r="T145" i="107"/>
  <c r="AS145" i="107" s="1"/>
  <c r="T16" i="107"/>
  <c r="AS16" i="107" s="1"/>
  <c r="T25" i="107"/>
  <c r="AS25" i="107" s="1"/>
  <c r="T91" i="107"/>
  <c r="AS91" i="107" s="1"/>
  <c r="T114" i="107"/>
  <c r="AS114" i="107" s="1"/>
  <c r="T141" i="107"/>
  <c r="AS141" i="107" s="1"/>
  <c r="T127" i="107"/>
  <c r="AS127" i="107" s="1"/>
  <c r="T106" i="107"/>
  <c r="AS106" i="107" s="1"/>
  <c r="T17" i="107"/>
  <c r="AS17" i="107" s="1"/>
  <c r="T26" i="107"/>
  <c r="AS26" i="107" s="1"/>
  <c r="T92" i="107"/>
  <c r="AS92" i="107" s="1"/>
  <c r="T119" i="107"/>
  <c r="AS119" i="107" s="1"/>
  <c r="T142" i="107"/>
  <c r="AS142" i="107" s="1"/>
  <c r="M49" i="107"/>
  <c r="L49" i="107" s="1"/>
  <c r="M36" i="107"/>
  <c r="M40" i="107"/>
  <c r="L40" i="107" s="1"/>
  <c r="AD7" i="107"/>
  <c r="M11" i="107"/>
  <c r="BR36" i="107"/>
  <c r="BR28" i="107" s="1"/>
  <c r="M15" i="107"/>
  <c r="BT28" i="107"/>
  <c r="BT20" i="107" s="1"/>
  <c r="BT6" i="107"/>
  <c r="F17" i="111"/>
  <c r="H17" i="111" s="1"/>
  <c r="L117" i="107"/>
  <c r="BT129" i="107"/>
  <c r="BT111" i="107"/>
  <c r="BT79" i="107"/>
  <c r="BT58" i="107"/>
  <c r="BT57" i="107" s="1"/>
  <c r="BT56" i="107" s="1"/>
  <c r="F42" i="111" l="1"/>
  <c r="G42" i="111" s="1"/>
  <c r="F43" i="111"/>
  <c r="G43" i="111" s="1"/>
  <c r="F40" i="111"/>
  <c r="G40" i="111" s="1"/>
  <c r="F39" i="111"/>
  <c r="G39" i="111" s="1"/>
  <c r="F41" i="111"/>
  <c r="G41" i="111" s="1"/>
  <c r="H29" i="111"/>
  <c r="O56" i="107"/>
  <c r="P73" i="107"/>
  <c r="O63" i="107"/>
  <c r="AS65" i="107"/>
  <c r="S74" i="107"/>
  <c r="F8" i="111"/>
  <c r="F10" i="111" s="1"/>
  <c r="L15" i="107"/>
  <c r="T28" i="107"/>
  <c r="L28" i="107"/>
  <c r="F22" i="111"/>
  <c r="H22" i="111" s="1"/>
  <c r="L36" i="107"/>
  <c r="AD11" i="107"/>
  <c r="L11" i="107"/>
  <c r="F46" i="111"/>
  <c r="K46" i="111" s="1"/>
  <c r="K45" i="111" s="1"/>
  <c r="N45" i="111" s="1"/>
  <c r="R45" i="111" s="1"/>
  <c r="F18" i="111"/>
  <c r="K58" i="111" s="1"/>
  <c r="F19" i="111"/>
  <c r="K19" i="111" s="1"/>
  <c r="G17" i="111"/>
  <c r="BR20" i="107"/>
  <c r="BR15" i="107" s="1"/>
  <c r="F32" i="111"/>
  <c r="F33" i="111"/>
  <c r="G33" i="111" s="1"/>
  <c r="F31" i="111"/>
  <c r="G29" i="111"/>
  <c r="F35" i="111"/>
  <c r="F30" i="111"/>
  <c r="K57" i="111" s="1"/>
  <c r="F34" i="111"/>
  <c r="G34" i="111" s="1"/>
  <c r="AD36" i="107"/>
  <c r="AJ36" i="107"/>
  <c r="AD49" i="107"/>
  <c r="AJ49" i="107"/>
  <c r="AD117" i="107"/>
  <c r="AJ117" i="107"/>
  <c r="AD40" i="107"/>
  <c r="AJ40" i="107"/>
  <c r="AD15" i="107"/>
  <c r="AD73" i="107" s="1"/>
  <c r="AJ15" i="107"/>
  <c r="AJ73" i="107" s="1"/>
  <c r="AD20" i="107"/>
  <c r="AJ20" i="107"/>
  <c r="AD112" i="107"/>
  <c r="AJ112" i="107"/>
  <c r="AD28" i="107"/>
  <c r="AJ28" i="107"/>
  <c r="BA79" i="107"/>
  <c r="AD80" i="107"/>
  <c r="Y80" i="107"/>
  <c r="T80" i="107"/>
  <c r="AD82" i="107"/>
  <c r="AD79" i="107"/>
  <c r="M56" i="107"/>
  <c r="AD63" i="107"/>
  <c r="AC72" i="107" s="1"/>
  <c r="Y94" i="107"/>
  <c r="AD94" i="107"/>
  <c r="T82" i="107"/>
  <c r="AS82" i="107" s="1"/>
  <c r="Y82" i="107"/>
  <c r="T7" i="107"/>
  <c r="Y7" i="107"/>
  <c r="T49" i="107"/>
  <c r="Y49" i="107"/>
  <c r="T117" i="107"/>
  <c r="Y117" i="107"/>
  <c r="T40" i="107"/>
  <c r="Y40" i="107"/>
  <c r="T20" i="107"/>
  <c r="Y20" i="107"/>
  <c r="T63" i="107"/>
  <c r="Y63" i="107"/>
  <c r="X72" i="107" s="1"/>
  <c r="T15" i="107"/>
  <c r="T73" i="107" s="1"/>
  <c r="AS73" i="107" s="1"/>
  <c r="Y15" i="107"/>
  <c r="Y73" i="107" s="1"/>
  <c r="Y28" i="107"/>
  <c r="T11" i="107"/>
  <c r="Y11" i="107"/>
  <c r="T36" i="107"/>
  <c r="Y36" i="107"/>
  <c r="T57" i="107"/>
  <c r="K32" i="109"/>
  <c r="T31" i="109"/>
  <c r="T32" i="109" s="1"/>
  <c r="T94" i="107"/>
  <c r="M6" i="107"/>
  <c r="AJ6" i="107" s="1"/>
  <c r="M14" i="107"/>
  <c r="M172" i="107"/>
  <c r="BH94" i="107"/>
  <c r="BT15" i="107"/>
  <c r="K39" i="111" l="1"/>
  <c r="N36" i="111" s="1"/>
  <c r="R36" i="111" s="1"/>
  <c r="K52" i="111"/>
  <c r="G8" i="111"/>
  <c r="M73" i="107"/>
  <c r="F12" i="111"/>
  <c r="G12" i="111" s="1"/>
  <c r="F11" i="111"/>
  <c r="K37" i="111" s="1"/>
  <c r="H8" i="111"/>
  <c r="H51" i="111" s="1"/>
  <c r="F14" i="111"/>
  <c r="K50" i="111" s="1"/>
  <c r="F51" i="111"/>
  <c r="F54" i="111" s="1"/>
  <c r="F13" i="111"/>
  <c r="G13" i="111" s="1"/>
  <c r="BT14" i="107"/>
  <c r="BT73" i="107"/>
  <c r="F9" i="111"/>
  <c r="K56" i="111" s="1"/>
  <c r="F24" i="111"/>
  <c r="K24" i="111" s="1"/>
  <c r="K22" i="111" s="1"/>
  <c r="F25" i="111"/>
  <c r="K38" i="111" s="1"/>
  <c r="K36" i="111" s="1"/>
  <c r="F26" i="111"/>
  <c r="K51" i="111" s="1"/>
  <c r="G22" i="111"/>
  <c r="F23" i="111"/>
  <c r="K59" i="111" s="1"/>
  <c r="L111" i="107"/>
  <c r="AJ56" i="107"/>
  <c r="L56" i="107"/>
  <c r="F45" i="111"/>
  <c r="N55" i="111"/>
  <c r="R55" i="111" s="1"/>
  <c r="K31" i="111"/>
  <c r="G10" i="111"/>
  <c r="G11" i="111"/>
  <c r="G31" i="111"/>
  <c r="G19" i="111"/>
  <c r="G32" i="111"/>
  <c r="AJ111" i="107"/>
  <c r="G30" i="111"/>
  <c r="G35" i="111"/>
  <c r="G18" i="111"/>
  <c r="BA14" i="107"/>
  <c r="AJ14" i="107"/>
  <c r="AD111" i="107"/>
  <c r="BA111" i="107"/>
  <c r="O31" i="109"/>
  <c r="O32" i="109" s="1"/>
  <c r="BA6" i="107"/>
  <c r="T56" i="107"/>
  <c r="AS56" i="107" s="1"/>
  <c r="BA56" i="107"/>
  <c r="T34" i="109"/>
  <c r="T35" i="109" s="1"/>
  <c r="AS94" i="107"/>
  <c r="K34" i="109"/>
  <c r="K35" i="109" s="1"/>
  <c r="S72" i="107"/>
  <c r="AD6" i="107"/>
  <c r="Y14" i="107"/>
  <c r="AD14" i="107"/>
  <c r="Y56" i="107"/>
  <c r="AD56" i="107"/>
  <c r="BH79" i="107"/>
  <c r="Y79" i="107"/>
  <c r="BH6" i="107"/>
  <c r="Y6" i="107"/>
  <c r="Y111" i="107"/>
  <c r="Q31" i="109"/>
  <c r="Q32" i="109" s="1"/>
  <c r="T111" i="107"/>
  <c r="BH111" i="107"/>
  <c r="P31" i="109"/>
  <c r="P32" i="109" s="1"/>
  <c r="T14" i="107"/>
  <c r="AS14" i="107" s="1"/>
  <c r="R31" i="109"/>
  <c r="R32" i="109" s="1"/>
  <c r="T79" i="107"/>
  <c r="T6" i="107"/>
  <c r="BH14" i="107"/>
  <c r="BH56" i="107"/>
  <c r="K55" i="111" l="1"/>
  <c r="G24" i="111"/>
  <c r="G9" i="111"/>
  <c r="O55" i="111"/>
  <c r="S55" i="111" s="1"/>
  <c r="K10" i="111"/>
  <c r="K8" i="111" s="1"/>
  <c r="O36" i="111"/>
  <c r="S36" i="111" s="1"/>
  <c r="G14" i="111"/>
  <c r="BH73" i="107"/>
  <c r="BA73" i="107"/>
  <c r="G25" i="111"/>
  <c r="G23" i="111"/>
  <c r="G26" i="111"/>
  <c r="AS6" i="107"/>
  <c r="F50" i="111"/>
  <c r="F53" i="111" s="1"/>
  <c r="H45" i="111"/>
  <c r="H50" i="111" s="1"/>
  <c r="F66" i="111"/>
  <c r="G46" i="111"/>
  <c r="G45" i="111" s="1"/>
  <c r="K29" i="111"/>
  <c r="N29" i="111" s="1"/>
  <c r="K49" i="111"/>
  <c r="O22" i="111"/>
  <c r="S22" i="111" s="1"/>
  <c r="K17" i="111"/>
  <c r="N17" i="111" s="1"/>
  <c r="Q34" i="109"/>
  <c r="Q35" i="109" s="1"/>
  <c r="AS111" i="107"/>
  <c r="R34" i="109"/>
  <c r="R35" i="109" s="1"/>
  <c r="AS79" i="107"/>
  <c r="O34" i="109"/>
  <c r="O35" i="109" s="1"/>
  <c r="P34" i="109"/>
  <c r="P35" i="109" s="1"/>
  <c r="R17" i="111" l="1"/>
  <c r="N49" i="111"/>
  <c r="R49" i="111" s="1"/>
  <c r="O49" i="111"/>
  <c r="S49" i="111" s="1"/>
  <c r="R29" i="111"/>
  <c r="O8" i="111"/>
  <c r="M49" i="111"/>
  <c r="K66" i="111"/>
  <c r="N66" i="111" l="1"/>
  <c r="N68" i="111" s="1"/>
  <c r="R66" i="111"/>
  <c r="O66" i="111"/>
  <c r="O67" i="111" s="1"/>
  <c r="S8" i="111"/>
  <c r="S66" i="111" s="1"/>
  <c r="M66" i="111"/>
  <c r="Q49" i="111"/>
  <c r="Q66" i="111" s="1"/>
  <c r="BH182" i="107"/>
  <c r="G10" i="108"/>
  <c r="S72" i="111" l="1"/>
  <c r="N67" i="111"/>
  <c r="M67" i="111"/>
  <c r="M68" i="111"/>
  <c r="O68" i="111"/>
  <c r="O69" i="111" s="1"/>
  <c r="BT94" i="107"/>
  <c r="BT176" i="107" s="1"/>
  <c r="BT183" i="107" l="1"/>
  <c r="BT186" i="107" s="1"/>
  <c r="BT177" i="107"/>
  <c r="BT182" i="107" s="1"/>
  <c r="BH129" i="107" l="1"/>
  <c r="AD152" i="107"/>
  <c r="AJ152" i="107"/>
  <c r="T152" i="107"/>
  <c r="Y152" i="107"/>
  <c r="M176" i="107"/>
  <c r="AH14" i="107" s="1"/>
  <c r="AD129" i="107"/>
  <c r="AD176" i="107" s="1"/>
  <c r="AD183" i="107" s="1"/>
  <c r="AH158" i="107" l="1"/>
  <c r="AH56" i="107"/>
  <c r="AH160" i="107"/>
  <c r="AH111" i="107"/>
  <c r="BA129" i="107"/>
  <c r="BH176" i="107"/>
  <c r="AJ129" i="107"/>
  <c r="AJ176" i="107" s="1"/>
  <c r="AH94" i="107"/>
  <c r="S31" i="109"/>
  <c r="S32" i="109" s="1"/>
  <c r="AH6" i="107"/>
  <c r="M183" i="107"/>
  <c r="M190" i="107" s="1"/>
  <c r="AH79" i="107"/>
  <c r="Y129" i="107"/>
  <c r="M177" i="107"/>
  <c r="AH129" i="107"/>
  <c r="BA176" i="107"/>
  <c r="T129" i="107"/>
  <c r="T176" i="107" s="1"/>
  <c r="M178" i="107"/>
  <c r="M180" i="107" l="1"/>
  <c r="M191" i="107"/>
  <c r="AH176" i="107"/>
  <c r="AO177" i="107"/>
  <c r="BH177" i="107"/>
  <c r="BA177" i="107"/>
  <c r="BA183" i="107"/>
  <c r="I10" i="108"/>
  <c r="M186" i="107"/>
  <c r="BH183" i="107"/>
  <c r="AS183" i="107"/>
  <c r="Y176" i="107"/>
  <c r="Y183" i="107" s="1"/>
  <c r="AJ183" i="107"/>
  <c r="AJ186" i="107" s="1"/>
  <c r="AJ181" i="107"/>
  <c r="M187" i="107"/>
  <c r="AO178" i="107"/>
  <c r="AS178" i="107" s="1"/>
  <c r="S34" i="109"/>
  <c r="S35" i="109" s="1"/>
  <c r="AS129" i="107"/>
  <c r="BA186" i="107" l="1"/>
  <c r="BH186" i="107"/>
  <c r="AS186" i="107"/>
  <c r="T183" i="107"/>
  <c r="AS176" i="107"/>
  <c r="AS177" i="107"/>
  <c r="AS160" i="107"/>
  <c r="AO181" i="107"/>
  <c r="AS181" i="107" s="1"/>
  <c r="S10" i="108"/>
  <c r="S18" i="108" s="1"/>
  <c r="I18" i="108"/>
  <c r="I86" i="108" s="1"/>
  <c r="S86" i="108" s="1"/>
  <c r="P176" i="107"/>
  <c r="P183" i="107" l="1"/>
  <c r="P186" i="107" s="1"/>
  <c r="P178" i="107"/>
  <c r="P177" i="107"/>
  <c r="P180" i="107" l="1"/>
</calcChain>
</file>

<file path=xl/sharedStrings.xml><?xml version="1.0" encoding="utf-8"?>
<sst xmlns="http://schemas.openxmlformats.org/spreadsheetml/2006/main" count="1309" uniqueCount="583">
  <si>
    <t xml:space="preserve"> </t>
  </si>
  <si>
    <t>MELVILLE</t>
  </si>
  <si>
    <t>UNIONDALE</t>
  </si>
  <si>
    <t>Current State
KPU Demand</t>
  </si>
  <si>
    <t>10 Yr KPU Demand</t>
  </si>
  <si>
    <t>Key 
Rooms</t>
  </si>
  <si>
    <t>Target DGSF/Room</t>
  </si>
  <si>
    <t xml:space="preserve"> DGSF</t>
  </si>
  <si>
    <t>Treatment positions</t>
  </si>
  <si>
    <t>ED Imaging</t>
  </si>
  <si>
    <t>incl</t>
  </si>
  <si>
    <t>General ORs</t>
  </si>
  <si>
    <t>Other ORs with fixed Imaging</t>
  </si>
  <si>
    <t>Bronch/Endo</t>
  </si>
  <si>
    <t>Interventional Radiology</t>
  </si>
  <si>
    <t>Labor and Delivery</t>
  </si>
  <si>
    <t>C-Section</t>
  </si>
  <si>
    <t>CT</t>
  </si>
  <si>
    <t>MRI</t>
  </si>
  <si>
    <t>PET</t>
  </si>
  <si>
    <t>Nuclear Medicine</t>
  </si>
  <si>
    <t>Ultrasound</t>
  </si>
  <si>
    <t>XR/Fluoroscopic Room</t>
  </si>
  <si>
    <t>Radiation Oncology</t>
  </si>
  <si>
    <t>Licensed Beds</t>
  </si>
  <si>
    <t>Pediatrics</t>
  </si>
  <si>
    <t>TOTAL HOSPITAL DEPARTMENTAL PROGRAM AREA (Target DGSF)</t>
  </si>
  <si>
    <t>Major MERs</t>
  </si>
  <si>
    <t>DGSF x</t>
  </si>
  <si>
    <t>TOTAL HOSPITAL GROSS FLOOR AREA (GSF) - Per Program</t>
  </si>
  <si>
    <t>TOTAL HOSPITAL GROSS FLOOR AREA (GSF) - Per Concept Design</t>
  </si>
  <si>
    <t>N/A</t>
  </si>
  <si>
    <t>GSF / Licensed Bed</t>
  </si>
  <si>
    <t>Beds (lic.)</t>
  </si>
  <si>
    <t>Hybrid/Interoperative OR + MRI</t>
  </si>
  <si>
    <t>Non-Invasive Cardiology</t>
  </si>
  <si>
    <t>Triage</t>
  </si>
  <si>
    <t>Dialysis (8 Chairs + 2 ISO Rooms)</t>
  </si>
  <si>
    <t>(Refer to A - EMERGENCY DEPARTMENT above)</t>
  </si>
  <si>
    <t>Minor Procedure Room (IR)</t>
  </si>
  <si>
    <t>Minor Procedure Room (EP)</t>
  </si>
  <si>
    <t>DELTA</t>
  </si>
  <si>
    <t>Uniondale - 854 Beds</t>
  </si>
  <si>
    <t>05-20-2024
Concept Plan DGSF</t>
  </si>
  <si>
    <t>Incl'd above</t>
  </si>
  <si>
    <t>incl'd in E7</t>
  </si>
  <si>
    <t>UNIONDALE - 854 Beds</t>
  </si>
  <si>
    <t>Unassigned Area</t>
  </si>
  <si>
    <t>UNASSIGNED AREA</t>
  </si>
  <si>
    <t>854 Beds</t>
  </si>
  <si>
    <t>(280) Beds</t>
  </si>
  <si>
    <t xml:space="preserve">Uniondale REF </t>
  </si>
  <si>
    <t>Hospital Expansion</t>
  </si>
  <si>
    <t>GSF</t>
  </si>
  <si>
    <t>Subtotal DGSF + MER</t>
  </si>
  <si>
    <t>Corporate Office</t>
  </si>
  <si>
    <t>CORPORATE OFFICE</t>
  </si>
  <si>
    <t>Staff/Admin</t>
  </si>
  <si>
    <t>Teaching Spaces</t>
  </si>
  <si>
    <t>ACADEMIC</t>
  </si>
  <si>
    <t>Office</t>
  </si>
  <si>
    <t>Dry Lab</t>
  </si>
  <si>
    <t>ACADEMIC RESEARCH</t>
  </si>
  <si>
    <t>MCIT Offices</t>
  </si>
  <si>
    <t>RED+F Offices</t>
  </si>
  <si>
    <t>Finance + Billing Offices</t>
  </si>
  <si>
    <t>Human Resource Offices</t>
  </si>
  <si>
    <t>Other Support Offices</t>
  </si>
  <si>
    <t>Student Housing</t>
  </si>
  <si>
    <t>Staff Housing</t>
  </si>
  <si>
    <t>Practice Space</t>
  </si>
  <si>
    <t>Physician Offices</t>
  </si>
  <si>
    <t>MEDICAL OFFICE BUILDING (MOB)</t>
  </si>
  <si>
    <t>RESIDENTIAL</t>
  </si>
  <si>
    <t>Procedure Rooms + Imaging &amp; Dialysis</t>
  </si>
  <si>
    <t>ED Bays + Imaging</t>
  </si>
  <si>
    <t>ORs (2 w/ Fixed Imaging)</t>
  </si>
  <si>
    <t>ORs + Procedure</t>
  </si>
  <si>
    <t>8 to 12</t>
  </si>
  <si>
    <t>ED Bays</t>
  </si>
  <si>
    <t>Central Utility Plant (CUP)</t>
  </si>
  <si>
    <t>HOSPITAL - Phase 1</t>
  </si>
  <si>
    <t>HOSPITAL - Expansion</t>
  </si>
  <si>
    <t>CUP (Central Utility Plant)</t>
  </si>
  <si>
    <t>Units</t>
  </si>
  <si>
    <t>PARKING - CORPORATE OFFICE</t>
  </si>
  <si>
    <t>PARKING - ACADEMIC</t>
  </si>
  <si>
    <t>PARKING - RESIDENTIAL</t>
  </si>
  <si>
    <t>PARKING - MOB</t>
  </si>
  <si>
    <t>AMBULATORY SURGERY</t>
  </si>
  <si>
    <t>AMBULATORY CARE</t>
  </si>
  <si>
    <t>Physician Office</t>
  </si>
  <si>
    <t>PARKING - HOSPITAL Expansion</t>
  </si>
  <si>
    <t>PARKING - HOSPITAL Phase 1</t>
  </si>
  <si>
    <t>PARKING - AMBULATORY SURGERY</t>
  </si>
  <si>
    <t>PARKING - AMBULATORY CARE</t>
  </si>
  <si>
    <t>HOSPITAL SUBTOTAL</t>
  </si>
  <si>
    <t>PHASE 1</t>
  </si>
  <si>
    <t>PHASE 2</t>
  </si>
  <si>
    <t>GSF Assume 350SF/Space</t>
  </si>
  <si>
    <t>Overall Melville Campus Master Plan</t>
  </si>
  <si>
    <t>Notes</t>
  </si>
  <si>
    <t>PHASE 2 SUBTOTAL</t>
  </si>
  <si>
    <r>
      <rPr>
        <sz val="10"/>
        <color rgb="FFC00000"/>
        <rFont val="Founders Grotesk Medium"/>
        <family val="2"/>
      </rPr>
      <t>UNIONDALE</t>
    </r>
    <r>
      <rPr>
        <sz val="10"/>
        <color rgb="FFC00000"/>
        <rFont val="Founders Grotesk Light"/>
        <family val="2"/>
      </rPr>
      <t xml:space="preserve"> values
based on
2024-05-20 Concept Report</t>
    </r>
  </si>
  <si>
    <t>Phase 1 Buildings</t>
  </si>
  <si>
    <t>Hospital</t>
  </si>
  <si>
    <t>Level</t>
  </si>
  <si>
    <t>Program</t>
  </si>
  <si>
    <t xml:space="preserve">Total
GSF Covered </t>
  </si>
  <si>
    <t>Total
GSF Enclosed</t>
  </si>
  <si>
    <t>MEP</t>
  </si>
  <si>
    <t>Total      FGSF</t>
  </si>
  <si>
    <t>FGSF</t>
  </si>
  <si>
    <t>xFGSF (Inpatient)</t>
  </si>
  <si>
    <t xml:space="preserve">Subtotal 
Fitout 
DGSF (Inpatient)         </t>
  </si>
  <si>
    <t xml:space="preserve">Inpatient  </t>
  </si>
  <si>
    <t>xFGSF (Podium)</t>
  </si>
  <si>
    <t xml:space="preserve">Subtotal 
Fitout 
DGSF  (Podium)        </t>
  </si>
  <si>
    <t>ED</t>
  </si>
  <si>
    <t>D&amp;T</t>
  </si>
  <si>
    <t>Admin &amp; Staff Support</t>
  </si>
  <si>
    <t>Clinical Support</t>
  </si>
  <si>
    <t>Building Support</t>
  </si>
  <si>
    <t>Public Support</t>
  </si>
  <si>
    <t>13 Roof</t>
  </si>
  <si>
    <t>Elev. Bulkhead (trauma + service)</t>
  </si>
  <si>
    <t>12 Roof</t>
  </si>
  <si>
    <t>B1</t>
  </si>
  <si>
    <t>Totals</t>
  </si>
  <si>
    <t>Grossing Factor DGSF:GSF</t>
  </si>
  <si>
    <t>Inpatient Units  (72 Beds)</t>
  </si>
  <si>
    <t>Inpatient Units (incl NICU, PICU, AP/PP)  (108 Beds) + LDR &amp; C-Section</t>
  </si>
  <si>
    <t>Inpatient Units (incl PEDS, AP/PP)  (72 Beds)</t>
  </si>
  <si>
    <t>Inpatient Units  (ICU) (36 Beds) + Mechanical</t>
  </si>
  <si>
    <t>Procedure Platform (Proc &amp; Prep/Rec), PPCU, Gen Img, Obs, Cafeteria, Admin</t>
  </si>
  <si>
    <t>Mechanical</t>
  </si>
  <si>
    <t>B2</t>
  </si>
  <si>
    <t>Inpatient Units  (36 Beds) + Mechanical Mezzanine</t>
  </si>
  <si>
    <t>Central Utility Plant</t>
  </si>
  <si>
    <t>Parking</t>
  </si>
  <si>
    <t>Structured
Parking</t>
  </si>
  <si>
    <t>Cooling Towers, AHUs, Power Vent Fans</t>
  </si>
  <si>
    <t>Parking / Elev. Bulkhead</t>
  </si>
  <si>
    <t xml:space="preserve">Parking </t>
  </si>
  <si>
    <t>Total Phase 1 Summary</t>
  </si>
  <si>
    <t>Hospital Program DGSF</t>
  </si>
  <si>
    <t>DGSF</t>
  </si>
  <si>
    <t>Program DGSF</t>
  </si>
  <si>
    <t>Structured
Parking
(GSF)</t>
  </si>
  <si>
    <t>Inpatient</t>
  </si>
  <si>
    <t xml:space="preserve">Subtotal 
Fitout 
DGSF          </t>
  </si>
  <si>
    <t>Corporate
Services</t>
  </si>
  <si>
    <t>Academic
&amp; Research</t>
  </si>
  <si>
    <t>Amb.
Care</t>
  </si>
  <si>
    <t>Staff &amp; 
Student
Housing</t>
  </si>
  <si>
    <t>Sub-Total</t>
  </si>
  <si>
    <t>Phase 1</t>
  </si>
  <si>
    <t>North Garage - Staff Parking</t>
  </si>
  <si>
    <t>South Garage - Visitor Parking</t>
  </si>
  <si>
    <t>South Parking</t>
  </si>
  <si>
    <t>North Parking</t>
  </si>
  <si>
    <t>DESIGN</t>
  </si>
  <si>
    <t>LEVEL</t>
  </si>
  <si>
    <t>L1</t>
  </si>
  <si>
    <t>L2</t>
  </si>
  <si>
    <t>L3</t>
  </si>
  <si>
    <t>L6</t>
  </si>
  <si>
    <t>L7</t>
  </si>
  <si>
    <t>L6 | L7</t>
  </si>
  <si>
    <t>L3 - L4</t>
  </si>
  <si>
    <t>L5 - L11</t>
  </si>
  <si>
    <t>L8 - L11</t>
  </si>
  <si>
    <t>DGSF CHECK</t>
  </si>
  <si>
    <t>DGSF TARGET</t>
  </si>
  <si>
    <t>GSF TARGET</t>
  </si>
  <si>
    <t>GSF CHECK</t>
  </si>
  <si>
    <t>DGSF Target Check</t>
  </si>
  <si>
    <t>GSF Target Check</t>
  </si>
  <si>
    <t>8 Roof</t>
  </si>
  <si>
    <t>Green Roof w/ 30% Open</t>
  </si>
  <si>
    <t>Total
GSF Enclosed
Min 20% Open</t>
  </si>
  <si>
    <t>Chillers</t>
  </si>
  <si>
    <t>Co-Generation, Electrical Services, Heat Ext, Control, Substation, Plant Support, Shop</t>
  </si>
  <si>
    <t>Pumps,Chilled &amp; Hot Water Storage Tanks</t>
  </si>
  <si>
    <t>Distributed GSF</t>
  </si>
  <si>
    <t>Non-Patient Room DGSF</t>
  </si>
  <si>
    <t>Inpatient Room DGSF  (576 Beds)</t>
  </si>
  <si>
    <t>Reference ONLY</t>
  </si>
  <si>
    <t>CONCEPT</t>
  </si>
  <si>
    <t>TARGET</t>
  </si>
  <si>
    <t>Water Metric*</t>
  </si>
  <si>
    <t>Gal/Day</t>
  </si>
  <si>
    <t>Sewer Metric*</t>
  </si>
  <si>
    <t>Power Demand</t>
  </si>
  <si>
    <t>kW</t>
  </si>
  <si>
    <t>Inpatient Beds</t>
  </si>
  <si>
    <t>beds</t>
  </si>
  <si>
    <t>gal per bed</t>
  </si>
  <si>
    <t>Emergency Department &amp; Observation</t>
  </si>
  <si>
    <t>gal per GSF</t>
  </si>
  <si>
    <t>Diagnostic &amp; Treatment</t>
  </si>
  <si>
    <t>Admin &amp; Support</t>
  </si>
  <si>
    <t>Phase 1 Hospital Sub-Total</t>
  </si>
  <si>
    <t>W per GSF</t>
  </si>
  <si>
    <t>Central Utility Plant (Cooling Towers - Peak Day [NYU Only])</t>
  </si>
  <si>
    <t>-</t>
  </si>
  <si>
    <t>Central Utility Plant (Cooling Towers - Avg Summer Day [NYU Only])</t>
  </si>
  <si>
    <t>Central Utility Plant (Core and Shell)</t>
  </si>
  <si>
    <t>Central Utility Plant (Equipment Infrastructure, Connected Load)</t>
  </si>
  <si>
    <t>Central Utility Plant (Equipment Infrastructure, Day One Design Day Load)</t>
  </si>
  <si>
    <t>Central Utility Plant (Equipment Infrastructure, Day One 100% Elec Heat)</t>
  </si>
  <si>
    <t>Phase 1 CUP</t>
  </si>
  <si>
    <t>Structured Parking</t>
  </si>
  <si>
    <t>Phase 1 Structured Parking</t>
  </si>
  <si>
    <t>Site Development</t>
  </si>
  <si>
    <t>gal</t>
  </si>
  <si>
    <t>Note: Irrigation value is average gallon per day over full year for Entire Site.</t>
  </si>
  <si>
    <t>Phase 1 Site Development</t>
  </si>
  <si>
    <t>Phase 1 Sub-Total</t>
  </si>
  <si>
    <t>Phase 1 Sub-Total - Site</t>
  </si>
  <si>
    <t>Phase 2 Buildings</t>
  </si>
  <si>
    <t>Student / Staff Housing</t>
  </si>
  <si>
    <t>gal per unit</t>
  </si>
  <si>
    <t>Academic/Research</t>
  </si>
  <si>
    <t>Corporate Offices</t>
  </si>
  <si>
    <t>Ambulatory Care</t>
  </si>
  <si>
    <t>Central Utility Plant (Equipment Infrastructure, Day Two Add'l Design Day Load)</t>
  </si>
  <si>
    <t>Central Utility Plant (Equipment Infrastructure, Day Two Add'l 100% Elec Heat)</t>
  </si>
  <si>
    <t>Phase 2 CUP</t>
  </si>
  <si>
    <t>Phase 2 Sub-Total</t>
  </si>
  <si>
    <t>Water Gal/Day</t>
  </si>
  <si>
    <t>Phase 3 Hospital Expansion Sub-Total</t>
  </si>
  <si>
    <t>Phase 3 Buildings</t>
  </si>
  <si>
    <t>Phase 3 Sub-Total</t>
  </si>
  <si>
    <t>Residential</t>
  </si>
  <si>
    <t>Medical Office Building (MOB)</t>
  </si>
  <si>
    <t>NYUL LI Melville HQ Campus</t>
  </si>
  <si>
    <t>Diagnostic &amp; Treatment - Assume 26%</t>
  </si>
  <si>
    <t>Emergency Department &amp; Observation - Assume 6%</t>
  </si>
  <si>
    <t>Admin &amp; Support - Assume 20%</t>
  </si>
  <si>
    <t>Ambulatory Surgery &amp; Ambulatory Care</t>
  </si>
  <si>
    <t>Ambulatory Surgery</t>
  </si>
  <si>
    <t>Total Conceptual Masterplan (10-15 years) - Phase 1 + 2</t>
  </si>
  <si>
    <t>Total Future Campus (+15 years) - Phase 1 + 2 + 3</t>
  </si>
  <si>
    <t>Phase 2 Buildings Sub-Total</t>
  </si>
  <si>
    <t>MELVILLE HQ Phase 1 Sub-Total</t>
  </si>
  <si>
    <t>UNIONDALE Phase 1 Sub-Total</t>
  </si>
  <si>
    <t>MELVILLE HQ Phase 2 Sub-Total</t>
  </si>
  <si>
    <t>UNIONDALE Phase 2 Sub-Total</t>
  </si>
  <si>
    <t>Melville  |  Uniondale Comparison</t>
  </si>
  <si>
    <t>MELVILLE HQ Phase 3 Sub-Total</t>
  </si>
  <si>
    <t>UNIONDALE Phase 3 Sub-Total</t>
  </si>
  <si>
    <t>DELTA Phase 1 + 2</t>
  </si>
  <si>
    <t>DELTA Phase 1 + 2 + 3</t>
  </si>
  <si>
    <t>MELVILLE HQ Phase 1 Sub-Total SITE</t>
  </si>
  <si>
    <t>UNIONDALE Phase 1 Sub-Total SITE</t>
  </si>
  <si>
    <t>PHASE 3</t>
  </si>
  <si>
    <t>PHASE 3 SUBTOTAL</t>
  </si>
  <si>
    <t>P3 PARKING SUBTOTAL</t>
  </si>
  <si>
    <t>P2 PARKING SUBTOTAL</t>
  </si>
  <si>
    <t>P1 PARKING SUBTOTAL</t>
  </si>
  <si>
    <t>CAMPUS BUILDING TOTAL</t>
  </si>
  <si>
    <t>CAMPUS PARKING TOTAL</t>
  </si>
  <si>
    <t>UNIONDALE - 724 Beds</t>
  </si>
  <si>
    <t>1 LINAC, 1 Nuclear Camera, 1 CT Sim</t>
  </si>
  <si>
    <t>2025-09-09 Steering</t>
  </si>
  <si>
    <t>Licensed Beds - Mother/Baby + Peds</t>
  </si>
  <si>
    <t>Target DGSF Planning
DGSF x 1.1 Factor</t>
  </si>
  <si>
    <t>Target FGSF Planning
DGSF x 1.3 Factor</t>
  </si>
  <si>
    <t>Planning Contingency</t>
  </si>
  <si>
    <t>Program GSF Planning
DGSF x 1.55 Factor</t>
  </si>
  <si>
    <t>FGSF / Bed</t>
  </si>
  <si>
    <t>GSF / Bed</t>
  </si>
  <si>
    <t>DGSF+ / Bed</t>
  </si>
  <si>
    <t>DGSF+</t>
  </si>
  <si>
    <t>Program GSF Planning
DGSF x 1.5 Factor</t>
  </si>
  <si>
    <t>EMERGENCY CARE SERVICES</t>
  </si>
  <si>
    <t>DEPARTMENT</t>
  </si>
  <si>
    <t>ROOM NAME</t>
  </si>
  <si>
    <t>KEY UNIT</t>
  </si>
  <si>
    <t>Patient Units_Observation</t>
  </si>
  <si>
    <t>DIVISION</t>
  </si>
  <si>
    <t>Observation</t>
  </si>
  <si>
    <t>DIAGNOSTIC AND TREATMENT</t>
  </si>
  <si>
    <t>Labor &amp; Delivery</t>
  </si>
  <si>
    <t>Post Procedural Care Unit</t>
  </si>
  <si>
    <t>Post Procedural Observation (PPCU)</t>
  </si>
  <si>
    <t>Surgery &amp; Procedures</t>
  </si>
  <si>
    <t>Dialysis</t>
  </si>
  <si>
    <t>INPATIENT CARE UNIT</t>
  </si>
  <si>
    <t>Patient Units_Med Surg</t>
  </si>
  <si>
    <t>Patient Units_Acute Rehab</t>
  </si>
  <si>
    <t>Ante partum / Post Partum</t>
  </si>
  <si>
    <t>D</t>
  </si>
  <si>
    <t>CLINICAL SUPPORT</t>
  </si>
  <si>
    <t>Clinical Labs &amp; Lab Support</t>
  </si>
  <si>
    <t>Transfusion Services</t>
  </si>
  <si>
    <t>Morgue</t>
  </si>
  <si>
    <t>Blood Bank</t>
  </si>
  <si>
    <t>D7</t>
  </si>
  <si>
    <t>Main Pharmacy</t>
  </si>
  <si>
    <t>Respiratory Therapy</t>
  </si>
  <si>
    <t>Central Sterile</t>
  </si>
  <si>
    <t>Retail Pharmacy</t>
  </si>
  <si>
    <t>E</t>
  </si>
  <si>
    <t>PUBLIC SUPPORT</t>
  </si>
  <si>
    <t>E1</t>
  </si>
  <si>
    <t>F1</t>
  </si>
  <si>
    <t>F2</t>
  </si>
  <si>
    <t>F3</t>
  </si>
  <si>
    <t>F8</t>
  </si>
  <si>
    <t>F9</t>
  </si>
  <si>
    <t>F10</t>
  </si>
  <si>
    <t>F11</t>
  </si>
  <si>
    <t>E2</t>
  </si>
  <si>
    <t>E3</t>
  </si>
  <si>
    <t>E4</t>
  </si>
  <si>
    <t>E5</t>
  </si>
  <si>
    <t>E6</t>
  </si>
  <si>
    <t>E7</t>
  </si>
  <si>
    <t>E9</t>
  </si>
  <si>
    <t>E10</t>
  </si>
  <si>
    <t>E12</t>
  </si>
  <si>
    <t>Micro Market</t>
  </si>
  <si>
    <t>Lobby Café</t>
  </si>
  <si>
    <t>Cafeteria</t>
  </si>
  <si>
    <t>Gift Shop</t>
  </si>
  <si>
    <t>Meditation</t>
  </si>
  <si>
    <t>Patient and Family Resources</t>
  </si>
  <si>
    <t>Staff Entry</t>
  </si>
  <si>
    <t>Mother/Baby Lobby</t>
  </si>
  <si>
    <t>Main Lobby</t>
  </si>
  <si>
    <t>F</t>
  </si>
  <si>
    <t>ADMINISTRATION &amp; STAFF SUPPORT</t>
  </si>
  <si>
    <t>Hospital Operations</t>
  </si>
  <si>
    <t>Nursing Administration</t>
  </si>
  <si>
    <t>Visitor Services Offices</t>
  </si>
  <si>
    <t>Conference</t>
  </si>
  <si>
    <t>Training and Simulation</t>
  </si>
  <si>
    <t>Laboratory Services</t>
  </si>
  <si>
    <t>F4</t>
  </si>
  <si>
    <t>F6</t>
  </si>
  <si>
    <t>F7</t>
  </si>
  <si>
    <t>Anesthesiology Offices</t>
  </si>
  <si>
    <t>G</t>
  </si>
  <si>
    <t>BUILDING SUPPORT</t>
  </si>
  <si>
    <t>G1</t>
  </si>
  <si>
    <t>G2</t>
  </si>
  <si>
    <t>G3</t>
  </si>
  <si>
    <t>G4</t>
  </si>
  <si>
    <t>G5</t>
  </si>
  <si>
    <t>G6</t>
  </si>
  <si>
    <t>G7</t>
  </si>
  <si>
    <t>G1.1</t>
  </si>
  <si>
    <t>Clean Dock + Receiving</t>
  </si>
  <si>
    <t>Waste Management</t>
  </si>
  <si>
    <t>EVS</t>
  </si>
  <si>
    <t>Linen Services</t>
  </si>
  <si>
    <t>Patient Transport</t>
  </si>
  <si>
    <t>Patient Care Equipment</t>
  </si>
  <si>
    <t>Material Automation (AGV/AMR)</t>
  </si>
  <si>
    <t>G8</t>
  </si>
  <si>
    <t>G9</t>
  </si>
  <si>
    <t>G10</t>
  </si>
  <si>
    <t>G11</t>
  </si>
  <si>
    <t>G13</t>
  </si>
  <si>
    <t>Dietary Kitchen</t>
  </si>
  <si>
    <t>Hospitality Offices, Lockers and Break Rooms</t>
  </si>
  <si>
    <t>Engineering &amp; Shops</t>
  </si>
  <si>
    <t>Security &amp; Emergency Preparedness</t>
  </si>
  <si>
    <t>MCIT  Storage and Support</t>
  </si>
  <si>
    <t>G14</t>
  </si>
  <si>
    <t>Buildings &amp; Grounds</t>
  </si>
  <si>
    <t>(vehicle parking not inc'l)</t>
  </si>
  <si>
    <t>(per floor staging not inc'l)</t>
  </si>
  <si>
    <t>H</t>
  </si>
  <si>
    <t>Public Education</t>
  </si>
  <si>
    <t>Lobby</t>
  </si>
  <si>
    <t>Public Resources</t>
  </si>
  <si>
    <t>Medical Gas Cylinder Storage</t>
  </si>
  <si>
    <t>Supply Chain (Supply Sto &amp; Dist, Staff/Admin, Mail Room)</t>
  </si>
  <si>
    <t xml:space="preserve">   P Tube (addressed as Mechanical)</t>
  </si>
  <si>
    <t>Café &amp; Retail</t>
  </si>
  <si>
    <t>COLOR</t>
  </si>
  <si>
    <t>Floor Grossing Factor (enclosure, VT, Stairs, IT/Elec, Non-Depart Circulation)</t>
  </si>
  <si>
    <t>Patient Units_Universal Med Surg</t>
  </si>
  <si>
    <t>14 Roof</t>
  </si>
  <si>
    <t>J</t>
  </si>
  <si>
    <t>Egress Stair</t>
  </si>
  <si>
    <t>BOH Circulation</t>
  </si>
  <si>
    <t>IT Closet</t>
  </si>
  <si>
    <t>Public Circulation</t>
  </si>
  <si>
    <t>BUILDING SUPPORT (Non Departmental)</t>
  </si>
  <si>
    <t>Building Support (Non Departmental)</t>
  </si>
  <si>
    <t>Electrical Room</t>
  </si>
  <si>
    <t>Shaftway</t>
  </si>
  <si>
    <t>Public Elevator</t>
  </si>
  <si>
    <t>Service Elevator</t>
  </si>
  <si>
    <t>Central Utility Plant (Cooling Towers - Peak Day)</t>
  </si>
  <si>
    <t>Central Utility Plant (Cooling Towers - Avg Summer Day)</t>
  </si>
  <si>
    <t>Patient Transport Elevator</t>
  </si>
  <si>
    <t>Clinical Support + Admin</t>
  </si>
  <si>
    <r>
      <rPr>
        <sz val="10"/>
        <color rgb="FFC00000"/>
        <rFont val="Founders Grotesk Medium"/>
        <family val="2"/>
      </rPr>
      <t>PARKING</t>
    </r>
    <r>
      <rPr>
        <sz val="10"/>
        <color rgb="FFC00000"/>
        <rFont val="Founders Grotesk Light"/>
        <family val="2"/>
      </rPr>
      <t xml:space="preserve"> values
based on
VHB Parking Planning
2025-09-29</t>
    </r>
  </si>
  <si>
    <t>8/11/25: Potential NICU/PICU increase (+3) to 41-Beds</t>
  </si>
  <si>
    <t>Medicine: 293  |  Surgery: 181</t>
  </si>
  <si>
    <t>Notes from NYU Strategy July 2025</t>
  </si>
  <si>
    <t>Providing "bigger box" for future needs</t>
  </si>
  <si>
    <t>XXXX gal/year (May - September) No irrigation assumed Jan. - April &amp; Oct. - Dec.</t>
  </si>
  <si>
    <t>FOR INITIAL REFERENCE ONLY - UPDATE REQUIRED</t>
  </si>
  <si>
    <t>JBB to review/confirm the W per GSF metric assumptions</t>
  </si>
  <si>
    <t>01</t>
  </si>
  <si>
    <t>Emergency Care Services (ED)</t>
  </si>
  <si>
    <t>02a</t>
  </si>
  <si>
    <t>FGSF+</t>
  </si>
  <si>
    <t>Factor_DGSF</t>
  </si>
  <si>
    <t>03a</t>
  </si>
  <si>
    <t>Imaging &amp; Other Diagnostic Services</t>
  </si>
  <si>
    <t>Procedure - Endo</t>
  </si>
  <si>
    <t>02b</t>
  </si>
  <si>
    <t>03b | 06</t>
  </si>
  <si>
    <t>Procedure - Interventional Radiology  |  Cardiovascular</t>
  </si>
  <si>
    <t>10c</t>
  </si>
  <si>
    <t>07a</t>
  </si>
  <si>
    <t>15</t>
  </si>
  <si>
    <t>05</t>
  </si>
  <si>
    <t>10d</t>
  </si>
  <si>
    <t>10a</t>
  </si>
  <si>
    <t>10b</t>
  </si>
  <si>
    <t>10e</t>
  </si>
  <si>
    <t>07b</t>
  </si>
  <si>
    <t>07c</t>
  </si>
  <si>
    <t>Licensed Beds - Med/Surg &amp; ICU</t>
  </si>
  <si>
    <t>Unlicensed Beds - Observation</t>
  </si>
  <si>
    <t>PICU (Pediatric ICU)</t>
  </si>
  <si>
    <t>NICU (Neonatal ICU)</t>
  </si>
  <si>
    <t>11</t>
  </si>
  <si>
    <t>12a</t>
  </si>
  <si>
    <t>13</t>
  </si>
  <si>
    <t>14</t>
  </si>
  <si>
    <t>12b</t>
  </si>
  <si>
    <t>11.2</t>
  </si>
  <si>
    <t>11.3</t>
  </si>
  <si>
    <t>11.4</t>
  </si>
  <si>
    <t>724 Beds</t>
  </si>
  <si>
    <t>(150) Beds</t>
  </si>
  <si>
    <t>%
DGSF</t>
  </si>
  <si>
    <t>Area Rounding
(1,000)</t>
  </si>
  <si>
    <t>DGSF Nearest
(1,000)</t>
  </si>
  <si>
    <t>DO NOT CHANGE LOCATION OF ROWS A, C-D, K, P-Q, U-V, AL</t>
  </si>
  <si>
    <t>Patient Units_ICU (assume 20%)</t>
  </si>
  <si>
    <t>Cath/EP (4 ea)</t>
  </si>
  <si>
    <t>Target FGSF Planning
DGSF x 1.25/1.3 Factor</t>
  </si>
  <si>
    <t>#UPDATED: 11/07/2025 - EC UPDATE REQ'D - Central Sterile</t>
  </si>
  <si>
    <t>L4</t>
  </si>
  <si>
    <t>Building Support and Mechanical + Rad Onc</t>
  </si>
  <si>
    <t>ED (73 positions),  Lobby, Public Support, Site Walkway + Observation</t>
  </si>
  <si>
    <t>Inpatient Units  (ICU) (36 Beds) + Surgery (OR &amp; Prep/Rec)</t>
  </si>
  <si>
    <t>73  |  16</t>
  </si>
  <si>
    <t>Positions  |  Beds</t>
  </si>
  <si>
    <t>Beds</t>
  </si>
  <si>
    <t>ORs</t>
  </si>
  <si>
    <t xml:space="preserve">UPDATED: 11/07/2025  </t>
  </si>
  <si>
    <t>UPDATED: 11/07/2025</t>
  </si>
  <si>
    <t>Phase 2 Site Development</t>
  </si>
  <si>
    <t>AREA CLAC ASSUMPTION:  (HQ2 Site Area (935,295SF)</t>
  </si>
  <si>
    <t>This number is if hot water boilers are electric.</t>
  </si>
  <si>
    <t>Note: This load is shown for reference only and not included in total loads.</t>
  </si>
  <si>
    <t xml:space="preserve">   L1 Building Areas (265,000SF : Hospital + 135,000SF : Parking Garages)</t>
  </si>
  <si>
    <t>AREA CLAC ASSUMPTION:  HQ1 Site Area (1,030,733SF)</t>
  </si>
  <si>
    <t xml:space="preserve">   L1 Building Areas (250,000SF : Buildings + 150,000SF : Parking Garages)</t>
  </si>
  <si>
    <t>Several cells include data from the Uniondale Project as place holders UPDATE required</t>
  </si>
  <si>
    <t>GSF Values are based on Target Design Values</t>
  </si>
  <si>
    <t>Sewer Gal/Day</t>
  </si>
  <si>
    <t>Irrigation and Site Lighting (excluding building SF)</t>
  </si>
  <si>
    <t>Phase 2 Structured Parking</t>
  </si>
  <si>
    <t>MELVILLE HQ Concept Master Plan (Phase 1 + Phase 2)</t>
  </si>
  <si>
    <t>UNIONDALE Concept Master Plan (Phase 1 + Phase 2)</t>
  </si>
  <si>
    <t>MELVILLE HQ Total Future Campus (Phase 1 + Phase 2 + Phase 3)</t>
  </si>
  <si>
    <t>UNIONDALE Total Future Campus (Phase 1 + Phase 2 + Phase 3)</t>
  </si>
  <si>
    <t>NYUL LI - Mellvile HQ Load Assumptions (SEQRA)</t>
  </si>
  <si>
    <t>24 Students / Class = +/-80</t>
  </si>
  <si>
    <t>Post Opp + Faculty = 0</t>
  </si>
  <si>
    <t>House Staff = 0 (change in NYU Operation)</t>
  </si>
  <si>
    <t>11/20/2025 Beau Everett Comments</t>
  </si>
  <si>
    <t>Extrapoloated from Uniondale Room-by-Room Program from Ewing Cole 2024-05</t>
  </si>
  <si>
    <t>OR &amp; Procedure Program Groups</t>
  </si>
  <si>
    <t>Uniondale
Key Rooms</t>
  </si>
  <si>
    <t>NSF</t>
  </si>
  <si>
    <t>%</t>
  </si>
  <si>
    <t>Current
Key Rooms</t>
  </si>
  <si>
    <t>HQ Program "Chunks"</t>
  </si>
  <si>
    <t>Surgery / ORs</t>
  </si>
  <si>
    <t>Patient Intake Area</t>
  </si>
  <si>
    <t>Intake</t>
  </si>
  <si>
    <t>Operating Rooms</t>
  </si>
  <si>
    <t>Ors &amp; OR Support</t>
  </si>
  <si>
    <t>Pre/Post (3 per OR)</t>
  </si>
  <si>
    <t>Pre/Post</t>
  </si>
  <si>
    <t>OR Support (with/adjacent to ORs)</t>
  </si>
  <si>
    <t>OR Satellite Lab and Pharmacy</t>
  </si>
  <si>
    <t>OR Staff Support</t>
  </si>
  <si>
    <t>Imaging</t>
  </si>
  <si>
    <t>Procedure: Endoscopy</t>
  </si>
  <si>
    <t>Endo</t>
  </si>
  <si>
    <t>Endo Rooms &amp; Support</t>
  </si>
  <si>
    <t>Endo Pre/Post  (3 per OR)</t>
  </si>
  <si>
    <t>Endo Staff Suport (can be co-located with OR Staff)</t>
  </si>
  <si>
    <t>Procedure: Cardiovascular</t>
  </si>
  <si>
    <t>Procedure Platform (IR + Cath/EP)</t>
  </si>
  <si>
    <t>Cath/EP</t>
  </si>
  <si>
    <t>Cath/EP + IR Rooms &amp; Support</t>
  </si>
  <si>
    <t xml:space="preserve">Noninvasive Cardiology Diagnostics </t>
  </si>
  <si>
    <t>Procedure Room Support (with/adjacent to PRs)</t>
  </si>
  <si>
    <t>Staff Support</t>
  </si>
  <si>
    <t>Procedure: Interventional Radiology</t>
  </si>
  <si>
    <t>Staff Support (all ORs/Procedure)</t>
  </si>
  <si>
    <t>Staff Support Surgery/Ors</t>
  </si>
  <si>
    <t>Procedure Rooms</t>
  </si>
  <si>
    <t>Staff Support Endo</t>
  </si>
  <si>
    <t>IR Support (with/adjacent to IR)</t>
  </si>
  <si>
    <t>TOTAL PROGRAM NSF</t>
  </si>
  <si>
    <t>x1.6 NSF:DGSF GF</t>
  </si>
  <si>
    <t>TOTAL PROGRAM DGSF</t>
  </si>
  <si>
    <t>TOTAL PLANNING DGSF</t>
  </si>
  <si>
    <t>Rooms/Chairs</t>
  </si>
  <si>
    <t>10 Chair Department</t>
  </si>
  <si>
    <t>x 1.3 DGSF:FGF</t>
  </si>
  <si>
    <t>OR Intake</t>
  </si>
  <si>
    <t>Imaging Intake</t>
  </si>
  <si>
    <t>Endo Intake</t>
  </si>
  <si>
    <t>Procedure Intake</t>
  </si>
  <si>
    <t>see below</t>
  </si>
  <si>
    <t>SUBTOTAL</t>
  </si>
  <si>
    <t>Staff Suport Procedure</t>
  </si>
  <si>
    <t>x 1.1 DGSF + shafts &amp; elec/tele</t>
  </si>
  <si>
    <t>Difference between L3 &amp; L4</t>
  </si>
  <si>
    <t>Planhing DGSF</t>
  </si>
  <si>
    <t>Planning DGSF x1.1</t>
  </si>
  <si>
    <t>Prep/Post</t>
  </si>
  <si>
    <t>OR Pre/Post</t>
  </si>
  <si>
    <t>Endo Pre/Post</t>
  </si>
  <si>
    <t>Procefure Pre/Post</t>
  </si>
  <si>
    <t>DGSF
x1.1</t>
  </si>
  <si>
    <t>incl. above</t>
  </si>
  <si>
    <t>DGSF x 1.1</t>
  </si>
  <si>
    <t>x</t>
  </si>
  <si>
    <t>Clinical Engineering</t>
  </si>
  <si>
    <t>TBD</t>
  </si>
  <si>
    <t>Target</t>
  </si>
  <si>
    <t>Lab Admin &amp; Pathologist Offices</t>
  </si>
  <si>
    <t>Support Services</t>
  </si>
  <si>
    <t>Ambulance Services</t>
  </si>
  <si>
    <t>with ED</t>
  </si>
  <si>
    <t>A</t>
  </si>
  <si>
    <t>B</t>
  </si>
  <si>
    <t>C</t>
  </si>
  <si>
    <t>DGSF/Room</t>
  </si>
  <si>
    <t>Key Room DGSF Program</t>
  </si>
  <si>
    <t>Room-by-Room Program</t>
  </si>
  <si>
    <t>MELVILLE - 574 Beds</t>
  </si>
  <si>
    <t>DGSF/Bed</t>
  </si>
  <si>
    <t>For Reference Only</t>
  </si>
  <si>
    <t>TOTAL CUP GROSS FLOOR AREA (GSF)</t>
  </si>
  <si>
    <t>TOTAL Hospital + CUP GROSS FLOOR AREA (GSF)</t>
  </si>
  <si>
    <t>% Gross Major MERs (Excluding CUP)</t>
  </si>
  <si>
    <t>SUB-TOTAL CLINICAL PROGRAM AREA (Target DGSF)</t>
  </si>
  <si>
    <t>% Gross Major MERs (Including CUP)</t>
  </si>
  <si>
    <t>Receiving / Clean Dock</t>
  </si>
  <si>
    <t>Waste Management / Soiled Dock</t>
  </si>
  <si>
    <t xml:space="preserve">Soiled Dock </t>
  </si>
  <si>
    <t>4 Truck/compactor positions and exterior stairs/ramps not included (assume 1,200 SF)</t>
  </si>
  <si>
    <t>6 Truck positions and exterior stairs/ramps not included (assume 1,800 SF)</t>
  </si>
  <si>
    <t>included above</t>
  </si>
  <si>
    <t>with NICU</t>
  </si>
  <si>
    <t>w/ Supply Chain</t>
  </si>
  <si>
    <t>Meeting &amp; Training</t>
  </si>
  <si>
    <t>Faculty and Staff Resouces (confirm if this includes oncall?)</t>
  </si>
  <si>
    <t>Extended Clinical Team (Managers only)</t>
  </si>
  <si>
    <t>Hospital Operations and Admin</t>
  </si>
  <si>
    <t>Emergency Medicine</t>
  </si>
  <si>
    <t>Programmed as part of Emergency Department</t>
  </si>
  <si>
    <t>Clinician Offices</t>
  </si>
  <si>
    <t>Residents and Fellows (Graduate Medical Education Hub)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</si>
</sst>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#,##0.0"/>
    <numFmt numFmtId="167" formatCode="0.0%"/>
    <numFmt numFmtId="168" formatCode="_(* #,##0.0000_);_(* \(#,##0.0000\);_(* &quot;-&quot;??_);_(@_)"/>
    <numFmt numFmtId="169" formatCode="_(* #,##0.000_);_(* \(#,##0.000\);_(* &quot;-&quot;??_);_(@_)"/>
    <numFmt numFmtId="170" formatCode="_(* #,##0.0_);_(* \(#,##0.0\);_(* &quot;-&quot;??_);_(@_)"/>
    <numFmt numFmtId="171" formatCode="_(* #,##0.00000_);_(* \(#,##0.00000\);_(* &quot;-&quot;??_);_(@_)"/>
    <numFmt numFmtId="172" formatCode="#,##0.000_);\(#,##0.000\)"/>
    <numFmt numFmtId="173" formatCode="_(* #,##0_);_(* \(#,##0\);_(* &quot;-&quot;?_);_(@_)"/>
  </numFmts>
  <fonts count="9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Founders Grotesk"/>
    </font>
    <font>
      <sz val="14"/>
      <name val="Founders Grotesk"/>
    </font>
    <font>
      <b/>
      <sz val="12"/>
      <name val="Founders Grotesk"/>
    </font>
    <font>
      <b/>
      <sz val="11.5"/>
      <name val="Founders Grotesk"/>
    </font>
    <font>
      <sz val="11"/>
      <name val="Founders Grotesk"/>
    </font>
    <font>
      <b/>
      <sz val="11"/>
      <name val="Founders Grotesk"/>
    </font>
    <font>
      <sz val="10"/>
      <color theme="1"/>
      <name val="Arial"/>
      <family val="2"/>
    </font>
    <font>
      <sz val="11"/>
      <color theme="1"/>
      <name val="Founders Grotesk"/>
    </font>
    <font>
      <b/>
      <sz val="11"/>
      <color theme="1"/>
      <name val="Founders Grotesk"/>
    </font>
    <font>
      <b/>
      <sz val="12"/>
      <color theme="1"/>
      <name val="Founders Grotesk"/>
    </font>
    <font>
      <sz val="11"/>
      <color theme="0" tint="-0.499984740745262"/>
      <name val="Founders Grotesk"/>
    </font>
    <font>
      <b/>
      <sz val="11"/>
      <color theme="0" tint="-0.499984740745262"/>
      <name val="Founders Grotesk"/>
    </font>
    <font>
      <sz val="11"/>
      <color rgb="FFFF0000"/>
      <name val="Founders Grotesk"/>
    </font>
    <font>
      <sz val="11"/>
      <color rgb="FF00B0F0"/>
      <name val="Founders Grotesk"/>
    </font>
    <font>
      <b/>
      <sz val="14"/>
      <color theme="1"/>
      <name val="Founders Grotesk"/>
    </font>
    <font>
      <sz val="12"/>
      <name val="Arial"/>
      <family val="2"/>
    </font>
    <font>
      <sz val="11"/>
      <name val="Arial"/>
      <family val="2"/>
    </font>
    <font>
      <sz val="12"/>
      <color theme="1"/>
      <name val="Founders Grotesk"/>
    </font>
    <font>
      <b/>
      <sz val="10"/>
      <name val="Arial"/>
      <family val="2"/>
    </font>
    <font>
      <b/>
      <sz val="11"/>
      <color rgb="FFC00000"/>
      <name val="Founders Grotesk"/>
    </font>
    <font>
      <sz val="10"/>
      <color rgb="FFFF0000"/>
      <name val="Arial"/>
      <family val="2"/>
    </font>
    <font>
      <i/>
      <sz val="11"/>
      <color theme="1"/>
      <name val="Founders Grotesk"/>
    </font>
    <font>
      <i/>
      <sz val="8"/>
      <color theme="1"/>
      <name val="Founders Grotesk"/>
    </font>
    <font>
      <b/>
      <sz val="13"/>
      <color rgb="FFFF0000"/>
      <name val="Founders Grotesk"/>
    </font>
    <font>
      <sz val="11"/>
      <color rgb="FFC00000"/>
      <name val="Founders Grotesk"/>
    </font>
    <font>
      <b/>
      <sz val="10"/>
      <name val="Arial"/>
      <family val="2"/>
    </font>
    <font>
      <sz val="12"/>
      <name val="Founders Grotesk"/>
    </font>
    <font>
      <sz val="10"/>
      <name val="Arial"/>
      <family val="2"/>
    </font>
    <font>
      <i/>
      <sz val="6"/>
      <color theme="1"/>
      <name val="Founders Grotesk"/>
    </font>
    <font>
      <sz val="9"/>
      <color theme="1"/>
      <name val="Founders Grotesk"/>
    </font>
    <font>
      <sz val="11"/>
      <name val="Founders Grotesk Medium"/>
      <family val="2"/>
    </font>
    <font>
      <sz val="10"/>
      <name val="Founders Grotesk Light"/>
      <family val="2"/>
    </font>
    <font>
      <sz val="14"/>
      <name val="Founders Grotesk Semibold"/>
      <family val="2"/>
    </font>
    <font>
      <sz val="16"/>
      <name val="Founders Grotesk Semibold"/>
      <family val="2"/>
    </font>
    <font>
      <sz val="12"/>
      <name val="Founders Grotesk Semibold"/>
      <family val="2"/>
    </font>
    <font>
      <sz val="18"/>
      <name val="Founders Grotesk Semibold"/>
      <family val="2"/>
    </font>
    <font>
      <sz val="11"/>
      <name val="Founders Grotesk Light"/>
      <family val="2"/>
    </font>
    <font>
      <sz val="10"/>
      <color rgb="FFC00000"/>
      <name val="Founders Grotesk Light"/>
      <family val="2"/>
    </font>
    <font>
      <sz val="10"/>
      <color rgb="FFC00000"/>
      <name val="Arial"/>
      <family val="2"/>
    </font>
    <font>
      <sz val="10"/>
      <color rgb="FFC00000"/>
      <name val="Founders Grotesk Medium"/>
      <family val="2"/>
    </font>
    <font>
      <sz val="11"/>
      <color theme="1"/>
      <name val="Founders Grotesk Light"/>
      <family val="2"/>
    </font>
    <font>
      <b/>
      <sz val="36"/>
      <name val="Founders Grotesk Light"/>
      <family val="2"/>
    </font>
    <font>
      <b/>
      <sz val="11"/>
      <name val="Founders Grotesk Light"/>
      <family val="2"/>
    </font>
    <font>
      <b/>
      <sz val="16"/>
      <name val="Founders Grotesk Light"/>
      <family val="2"/>
    </font>
    <font>
      <b/>
      <sz val="14"/>
      <name val="Founders Grotesk Light"/>
      <family val="2"/>
    </font>
    <font>
      <b/>
      <sz val="11"/>
      <color theme="1"/>
      <name val="Founders Grotesk Light"/>
      <family val="2"/>
    </font>
    <font>
      <sz val="11"/>
      <color rgb="FF00B050"/>
      <name val="Founders Grotesk Light"/>
      <family val="2"/>
    </font>
    <font>
      <sz val="11"/>
      <color rgb="FFC00000"/>
      <name val="Founders Grotesk Light"/>
      <family val="2"/>
    </font>
    <font>
      <sz val="14"/>
      <name val="Founders Grotesk Light"/>
      <family val="2"/>
    </font>
    <font>
      <b/>
      <sz val="14"/>
      <color theme="1"/>
      <name val="Founders Grotesk Light"/>
      <family val="2"/>
    </font>
    <font>
      <b/>
      <sz val="11"/>
      <color rgb="FFC00000"/>
      <name val="Founders Grotesk Light"/>
      <family val="2"/>
    </font>
    <font>
      <b/>
      <sz val="16"/>
      <name val="Founders Grotesk Semibold"/>
      <family val="2"/>
    </font>
    <font>
      <sz val="11"/>
      <color theme="0"/>
      <name val="Founders Grotesk Light"/>
      <family val="2"/>
    </font>
    <font>
      <b/>
      <sz val="11"/>
      <color rgb="FF000000"/>
      <name val="Founders Grotesk Light"/>
      <family val="2"/>
    </font>
    <font>
      <sz val="11"/>
      <color theme="8" tint="-0.249977111117893"/>
      <name val="Founders Grotesk Light"/>
      <family val="2"/>
    </font>
    <font>
      <i/>
      <sz val="11"/>
      <name val="Founders Grotesk Light"/>
      <family val="2"/>
    </font>
    <font>
      <b/>
      <sz val="11"/>
      <color rgb="FFFF0000"/>
      <name val="Founders Grotesk Light"/>
      <family val="2"/>
    </font>
    <font>
      <b/>
      <sz val="11"/>
      <color theme="8" tint="-0.249977111117893"/>
      <name val="Founders Grotesk Light"/>
      <family val="2"/>
    </font>
    <font>
      <b/>
      <sz val="14"/>
      <name val="Founders Grotesk Semibold"/>
      <family val="2"/>
    </font>
    <font>
      <b/>
      <sz val="13"/>
      <name val="Founders Grotesk Semibold"/>
      <family val="2"/>
    </font>
    <font>
      <b/>
      <sz val="13"/>
      <color theme="1"/>
      <name val="Founders Grotesk Light"/>
      <family val="2"/>
    </font>
    <font>
      <b/>
      <sz val="13"/>
      <color theme="8" tint="-0.249977111117893"/>
      <name val="Founders Grotesk Semibold"/>
      <family val="2"/>
    </font>
    <font>
      <b/>
      <sz val="13"/>
      <color theme="8" tint="-0.249977111117893"/>
      <name val="Founders Grotesk Light"/>
      <family val="2"/>
    </font>
    <font>
      <b/>
      <sz val="13"/>
      <name val="Founders Grotesk Light"/>
      <family val="2"/>
    </font>
    <font>
      <sz val="13"/>
      <name val="Founders Grotesk Semibold"/>
      <family val="2"/>
    </font>
    <font>
      <sz val="13"/>
      <name val="Founders Grotesk Light"/>
      <family val="2"/>
    </font>
    <font>
      <sz val="13"/>
      <color theme="1"/>
      <name val="Founders Grotesk Light"/>
      <family val="2"/>
    </font>
    <font>
      <sz val="13"/>
      <color theme="8" tint="-0.249977111117893"/>
      <name val="Founders Grotesk Light"/>
      <family val="2"/>
    </font>
    <font>
      <b/>
      <sz val="18"/>
      <name val="Founders Grotesk Semibold"/>
      <family val="2"/>
    </font>
    <font>
      <sz val="8"/>
      <color rgb="FFC00000"/>
      <name val="Founders Grotesk Light"/>
      <family val="2"/>
    </font>
    <font>
      <b/>
      <sz val="12"/>
      <name val="Founders Grotesk Semibold"/>
      <family val="2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3"/>
      <color theme="1"/>
      <name val="Founders Grotesk"/>
    </font>
    <font>
      <sz val="9"/>
      <color rgb="FFFF0000"/>
      <name val="Arial Narrow"/>
      <family val="2"/>
    </font>
    <font>
      <b/>
      <sz val="12"/>
      <color rgb="FFC00000"/>
      <name val="Founders Grotesk"/>
    </font>
    <font>
      <sz val="11"/>
      <color theme="1"/>
      <name val="Founders Grotesk Semibold"/>
      <family val="2"/>
    </font>
    <font>
      <b/>
      <sz val="11"/>
      <color theme="1"/>
      <name val="Founders Grotesk Semibold"/>
      <family val="2"/>
    </font>
    <font>
      <b/>
      <sz val="16"/>
      <color rgb="FFC00000"/>
      <name val="Founders Grotesk"/>
    </font>
    <font>
      <b/>
      <sz val="10"/>
      <color rgb="FFC00000"/>
      <name val="Founders Grotesk"/>
    </font>
    <font>
      <sz val="22"/>
      <name val="Founders Grotesk Semibold"/>
      <family val="2"/>
    </font>
    <font>
      <b/>
      <sz val="12"/>
      <color theme="0" tint="-0.499984740745262"/>
      <name val="Founders Grotesk Semibold"/>
      <family val="2"/>
    </font>
    <font>
      <b/>
      <sz val="14"/>
      <color theme="0" tint="-0.499984740745262"/>
      <name val="Founders Grotesk"/>
    </font>
    <font>
      <b/>
      <sz val="12"/>
      <color theme="0" tint="-0.499984740745262"/>
      <name val="Founders Grotesk"/>
    </font>
    <font>
      <b/>
      <sz val="11.5"/>
      <color theme="0" tint="-0.499984740745262"/>
      <name val="Founders Grotesk"/>
    </font>
    <font>
      <sz val="10"/>
      <color theme="0" tint="-0.499984740745262"/>
      <name val="Arial"/>
      <family val="2"/>
    </font>
    <font>
      <i/>
      <sz val="11"/>
      <color theme="0" tint="-0.499984740745262"/>
      <name val="Founders Grotesk"/>
    </font>
    <font>
      <sz val="12"/>
      <color theme="0" tint="-0.499984740745262"/>
      <name val="Founders Grotesk"/>
    </font>
    <font>
      <b/>
      <i/>
      <sz val="12"/>
      <color theme="0" tint="-0.499984740745262"/>
      <name val="Founders Grotesk"/>
    </font>
  </fonts>
  <fills count="6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ECA8C"/>
        <bgColor indexed="64"/>
      </patternFill>
    </fill>
    <fill>
      <patternFill patternType="solid">
        <fgColor rgb="FFF5C85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1B3A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9D4E9"/>
        <bgColor indexed="64"/>
      </patternFill>
    </fill>
    <fill>
      <patternFill patternType="solid">
        <fgColor rgb="FFFCF19C"/>
        <bgColor indexed="64"/>
      </patternFill>
    </fill>
    <fill>
      <patternFill patternType="solid">
        <fgColor rgb="FFDCD5C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FD9EF"/>
        <bgColor indexed="64"/>
      </patternFill>
    </fill>
    <fill>
      <patternFill patternType="solid">
        <fgColor rgb="FF787878"/>
        <bgColor indexed="64"/>
      </patternFill>
    </fill>
    <fill>
      <patternFill patternType="solid">
        <fgColor rgb="FFB8B5DA"/>
        <bgColor indexed="64"/>
      </patternFill>
    </fill>
    <fill>
      <patternFill patternType="solid">
        <fgColor rgb="FFEDC8DF"/>
        <bgColor indexed="64"/>
      </patternFill>
    </fill>
    <fill>
      <patternFill patternType="solid">
        <fgColor rgb="FFEDEC84"/>
        <bgColor indexed="64"/>
      </patternFill>
    </fill>
    <fill>
      <patternFill patternType="solid">
        <fgColor rgb="FFE2C360"/>
        <bgColor indexed="64"/>
      </patternFill>
    </fill>
    <fill>
      <patternFill patternType="solid">
        <fgColor rgb="FFB4B4B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DBD6EA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E9E6B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8A7BB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E5446"/>
        <bgColor indexed="64"/>
      </patternFill>
    </fill>
    <fill>
      <patternFill patternType="solid">
        <fgColor rgb="FF93A63F"/>
        <bgColor indexed="64"/>
      </patternFill>
    </fill>
    <fill>
      <patternFill patternType="solid">
        <fgColor rgb="FF67A386"/>
        <bgColor indexed="64"/>
      </patternFill>
    </fill>
    <fill>
      <patternFill patternType="solid">
        <fgColor rgb="FF6599C6"/>
        <bgColor indexed="64"/>
      </patternFill>
    </fill>
    <fill>
      <patternFill patternType="solid">
        <fgColor rgb="FF9E94D3"/>
        <bgColor indexed="64"/>
      </patternFill>
    </fill>
    <fill>
      <patternFill patternType="solid">
        <fgColor rgb="FF389EA3"/>
        <bgColor indexed="64"/>
      </patternFill>
    </fill>
    <fill>
      <patternFill patternType="solid">
        <fgColor rgb="FF51609E"/>
        <bgColor indexed="64"/>
      </patternFill>
    </fill>
    <fill>
      <patternFill patternType="solid">
        <fgColor rgb="FF8B9BD1"/>
        <bgColor indexed="64"/>
      </patternFill>
    </fill>
    <fill>
      <patternFill patternType="solid">
        <fgColor rgb="FF6FB8DB"/>
        <bgColor indexed="64"/>
      </patternFill>
    </fill>
    <fill>
      <patternFill patternType="solid">
        <fgColor rgb="FFFAE1D2"/>
        <bgColor indexed="64"/>
      </patternFill>
    </fill>
    <fill>
      <patternFill patternType="solid">
        <fgColor rgb="FFE0A40E"/>
        <bgColor indexed="64"/>
      </patternFill>
    </fill>
    <fill>
      <patternFill patternType="solid">
        <fgColor rgb="FFAD9C71"/>
        <bgColor indexed="64"/>
      </patternFill>
    </fill>
    <fill>
      <patternFill patternType="solid">
        <fgColor rgb="FFC1B493"/>
        <bgColor indexed="64"/>
      </patternFill>
    </fill>
    <fill>
      <patternFill patternType="solid">
        <fgColor rgb="FFF8DF2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8DD"/>
        <bgColor indexed="64"/>
      </patternFill>
    </fill>
    <fill>
      <patternFill patternType="solid">
        <fgColor rgb="FFC7C7C7"/>
        <bgColor indexed="64"/>
      </patternFill>
    </fill>
    <fill>
      <patternFill patternType="solid">
        <fgColor rgb="FFAFAFAF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7E4F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</fills>
  <borders count="7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2" tint="-0.499984740745262"/>
      </bottom>
      <diagonal/>
    </border>
    <border>
      <left/>
      <right/>
      <top/>
      <bottom style="thick">
        <color theme="2" tint="-0.4999847407452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hair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thick">
        <color auto="1"/>
      </bottom>
      <diagonal/>
    </border>
  </borders>
  <cellStyleXfs count="10">
    <xf numFmtId="0" fontId="0" fillId="0" borderId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30" fillId="0" borderId="0" applyFont="0" applyFill="0" applyBorder="0" applyAlignment="0" applyProtection="0"/>
  </cellStyleXfs>
  <cellXfs count="1217">
    <xf numFmtId="0" fontId="0" fillId="0" borderId="0" xfId="0"/>
    <xf numFmtId="0" fontId="10" fillId="0" borderId="0" xfId="0" applyFont="1" applyAlignment="1">
      <alignment horizontal="left" indent="4"/>
    </xf>
    <xf numFmtId="0" fontId="12" fillId="6" borderId="0" xfId="0" applyFont="1" applyFill="1"/>
    <xf numFmtId="0" fontId="11" fillId="6" borderId="0" xfId="0" applyFont="1" applyFill="1" applyAlignment="1">
      <alignment horizontal="left" indent="4"/>
    </xf>
    <xf numFmtId="0" fontId="11" fillId="6" borderId="0" xfId="0" applyFont="1" applyFill="1"/>
    <xf numFmtId="3" fontId="11" fillId="6" borderId="0" xfId="0" applyNumberFormat="1" applyFont="1" applyFill="1"/>
    <xf numFmtId="0" fontId="11" fillId="0" borderId="0" xfId="0" applyFont="1"/>
    <xf numFmtId="0" fontId="11" fillId="0" borderId="0" xfId="0" applyFont="1" applyAlignment="1">
      <alignment horizontal="left" indent="4"/>
    </xf>
    <xf numFmtId="3" fontId="11" fillId="0" borderId="0" xfId="0" applyNumberFormat="1" applyFont="1"/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164" fontId="10" fillId="0" borderId="0" xfId="1" applyNumberFormat="1" applyFont="1" applyAlignment="1">
      <alignment horizontal="right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/>
    </xf>
    <xf numFmtId="164" fontId="10" fillId="0" borderId="0" xfId="1" applyNumberFormat="1" applyFont="1"/>
    <xf numFmtId="0" fontId="11" fillId="0" borderId="0" xfId="0" applyFont="1" applyAlignment="1">
      <alignment horizontal="center" vertical="center"/>
    </xf>
    <xf numFmtId="0" fontId="12" fillId="3" borderId="0" xfId="0" applyFont="1" applyFill="1"/>
    <xf numFmtId="0" fontId="11" fillId="3" borderId="0" xfId="0" applyFont="1" applyFill="1" applyAlignment="1">
      <alignment horizontal="left" indent="4"/>
    </xf>
    <xf numFmtId="0" fontId="11" fillId="3" borderId="0" xfId="0" applyFont="1" applyFill="1" applyAlignment="1">
      <alignment horizontal="center" vertical="center"/>
    </xf>
    <xf numFmtId="0" fontId="11" fillId="3" borderId="0" xfId="0" applyFont="1" applyFill="1"/>
    <xf numFmtId="3" fontId="11" fillId="3" borderId="0" xfId="0" applyNumberFormat="1" applyFont="1" applyFill="1"/>
    <xf numFmtId="0" fontId="12" fillId="0" borderId="3" xfId="0" applyFont="1" applyBorder="1" applyAlignment="1">
      <alignment horizontal="left"/>
    </xf>
    <xf numFmtId="3" fontId="11" fillId="0" borderId="3" xfId="0" applyNumberFormat="1" applyFont="1" applyBorder="1"/>
    <xf numFmtId="0" fontId="10" fillId="0" borderId="0" xfId="0" applyFont="1" applyAlignment="1">
      <alignment horizontal="left"/>
    </xf>
    <xf numFmtId="3" fontId="10" fillId="0" borderId="0" xfId="0" applyNumberFormat="1" applyFont="1"/>
    <xf numFmtId="0" fontId="10" fillId="0" borderId="0" xfId="0" applyFont="1" applyAlignment="1">
      <alignment horizontal="center"/>
    </xf>
    <xf numFmtId="164" fontId="10" fillId="0" borderId="0" xfId="1" applyNumberFormat="1" applyFont="1" applyAlignment="1">
      <alignment horizontal="center"/>
    </xf>
    <xf numFmtId="0" fontId="7" fillId="0" borderId="0" xfId="0" applyFont="1" applyAlignment="1">
      <alignment horizontal="center"/>
    </xf>
    <xf numFmtId="164" fontId="10" fillId="0" borderId="0" xfId="1" applyNumberFormat="1" applyFont="1" applyBorder="1" applyAlignment="1">
      <alignment horizontal="center"/>
    </xf>
    <xf numFmtId="0" fontId="11" fillId="0" borderId="0" xfId="0" applyFont="1" applyAlignment="1">
      <alignment horizontal="right"/>
    </xf>
    <xf numFmtId="3" fontId="0" fillId="0" borderId="0" xfId="0" applyNumberFormat="1"/>
    <xf numFmtId="0" fontId="14" fillId="0" borderId="0" xfId="0" applyFont="1" applyAlignment="1">
      <alignment horizontal="center"/>
    </xf>
    <xf numFmtId="164" fontId="10" fillId="0" borderId="0" xfId="1" applyNumberFormat="1" applyFont="1" applyBorder="1" applyAlignment="1">
      <alignment horizontal="right"/>
    </xf>
    <xf numFmtId="0" fontId="10" fillId="0" borderId="0" xfId="0" applyFont="1" applyAlignment="1">
      <alignment horizontal="left" wrapText="1" indent="4"/>
    </xf>
    <xf numFmtId="3" fontId="10" fillId="0" borderId="0" xfId="0" applyNumberFormat="1" applyFont="1" applyAlignment="1">
      <alignment horizontal="right"/>
    </xf>
    <xf numFmtId="0" fontId="15" fillId="0" borderId="0" xfId="0" applyFont="1" applyAlignment="1">
      <alignment horizontal="left" indent="4"/>
    </xf>
    <xf numFmtId="0" fontId="15" fillId="0" borderId="0" xfId="0" applyFont="1" applyAlignment="1">
      <alignment horizontal="right"/>
    </xf>
    <xf numFmtId="164" fontId="15" fillId="0" borderId="0" xfId="1" applyNumberFormat="1" applyFont="1" applyFill="1" applyAlignment="1">
      <alignment horizontal="right"/>
    </xf>
    <xf numFmtId="3" fontId="15" fillId="0" borderId="0" xfId="0" applyNumberFormat="1" applyFont="1"/>
    <xf numFmtId="0" fontId="12" fillId="8" borderId="0" xfId="0" applyFont="1" applyFill="1"/>
    <xf numFmtId="0" fontId="10" fillId="8" borderId="0" xfId="0" applyFont="1" applyFill="1" applyAlignment="1">
      <alignment horizontal="left" indent="4"/>
    </xf>
    <xf numFmtId="0" fontId="14" fillId="8" borderId="0" xfId="0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164" fontId="11" fillId="8" borderId="0" xfId="1" applyNumberFormat="1" applyFont="1" applyFill="1"/>
    <xf numFmtId="0" fontId="8" fillId="0" borderId="1" xfId="0" applyFont="1" applyBorder="1" applyAlignment="1">
      <alignment horizontal="center"/>
    </xf>
    <xf numFmtId="0" fontId="12" fillId="9" borderId="0" xfId="0" applyFont="1" applyFill="1"/>
    <xf numFmtId="0" fontId="11" fillId="9" borderId="0" xfId="0" applyFont="1" applyFill="1" applyAlignment="1">
      <alignment horizontal="left" indent="4"/>
    </xf>
    <xf numFmtId="3" fontId="11" fillId="9" borderId="0" xfId="0" applyNumberFormat="1" applyFont="1" applyFill="1"/>
    <xf numFmtId="0" fontId="11" fillId="0" borderId="0" xfId="0" applyFont="1" applyAlignment="1">
      <alignment vertical="center"/>
    </xf>
    <xf numFmtId="165" fontId="10" fillId="0" borderId="0" xfId="0" applyNumberFormat="1" applyFont="1"/>
    <xf numFmtId="0" fontId="16" fillId="0" borderId="0" xfId="0" applyFont="1" applyAlignment="1">
      <alignment horizontal="left" indent="4"/>
    </xf>
    <xf numFmtId="0" fontId="12" fillId="4" borderId="0" xfId="0" applyFont="1" applyFill="1"/>
    <xf numFmtId="0" fontId="11" fillId="4" borderId="0" xfId="0" applyFont="1" applyFill="1" applyAlignment="1">
      <alignment horizontal="left" indent="4"/>
    </xf>
    <xf numFmtId="0" fontId="11" fillId="4" borderId="0" xfId="0" applyFont="1" applyFill="1"/>
    <xf numFmtId="3" fontId="11" fillId="4" borderId="0" xfId="0" applyNumberFormat="1" applyFont="1" applyFill="1"/>
    <xf numFmtId="0" fontId="12" fillId="5" borderId="0" xfId="0" applyFont="1" applyFill="1"/>
    <xf numFmtId="0" fontId="11" fillId="5" borderId="0" xfId="0" applyFont="1" applyFill="1" applyAlignment="1">
      <alignment horizontal="left" indent="4"/>
    </xf>
    <xf numFmtId="3" fontId="11" fillId="5" borderId="0" xfId="0" applyNumberFormat="1" applyFont="1" applyFill="1"/>
    <xf numFmtId="0" fontId="12" fillId="10" borderId="0" xfId="0" applyFont="1" applyFill="1"/>
    <xf numFmtId="0" fontId="11" fillId="10" borderId="0" xfId="0" applyFont="1" applyFill="1" applyAlignment="1">
      <alignment horizontal="left" indent="4"/>
    </xf>
    <xf numFmtId="0" fontId="11" fillId="10" borderId="0" xfId="0" applyFont="1" applyFill="1"/>
    <xf numFmtId="3" fontId="11" fillId="10" borderId="0" xfId="0" applyNumberFormat="1" applyFont="1" applyFill="1"/>
    <xf numFmtId="3" fontId="10" fillId="0" borderId="4" xfId="0" applyNumberFormat="1" applyFont="1" applyBorder="1"/>
    <xf numFmtId="0" fontId="17" fillId="0" borderId="0" xfId="0" applyFont="1"/>
    <xf numFmtId="164" fontId="11" fillId="0" borderId="0" xfId="0" applyNumberFormat="1" applyFont="1"/>
    <xf numFmtId="0" fontId="2" fillId="0" borderId="0" xfId="0" applyFont="1"/>
    <xf numFmtId="0" fontId="0" fillId="0" borderId="1" xfId="0" applyBorder="1"/>
    <xf numFmtId="0" fontId="18" fillId="0" borderId="0" xfId="0" applyFont="1"/>
    <xf numFmtId="0" fontId="11" fillId="0" borderId="1" xfId="0" applyFont="1" applyBorder="1" applyAlignment="1">
      <alignment horizontal="left" indent="4"/>
    </xf>
    <xf numFmtId="164" fontId="10" fillId="0" borderId="0" xfId="1" applyNumberFormat="1" applyFont="1" applyBorder="1"/>
    <xf numFmtId="164" fontId="10" fillId="0" borderId="0" xfId="1" applyNumberFormat="1" applyFont="1" applyFill="1" applyBorder="1"/>
    <xf numFmtId="0" fontId="11" fillId="0" borderId="1" xfId="0" applyFont="1" applyBorder="1"/>
    <xf numFmtId="3" fontId="11" fillId="0" borderId="1" xfId="0" applyNumberFormat="1" applyFont="1" applyBorder="1"/>
    <xf numFmtId="0" fontId="10" fillId="0" borderId="1" xfId="0" applyFont="1" applyBorder="1" applyAlignment="1">
      <alignment horizontal="left" indent="4"/>
    </xf>
    <xf numFmtId="0" fontId="10" fillId="0" borderId="1" xfId="0" applyFont="1" applyBorder="1"/>
    <xf numFmtId="164" fontId="10" fillId="0" borderId="1" xfId="0" applyNumberFormat="1" applyFont="1" applyBorder="1"/>
    <xf numFmtId="164" fontId="12" fillId="0" borderId="0" xfId="0" applyNumberFormat="1" applyFont="1"/>
    <xf numFmtId="164" fontId="10" fillId="0" borderId="0" xfId="0" applyNumberFormat="1" applyFont="1"/>
    <xf numFmtId="0" fontId="20" fillId="0" borderId="0" xfId="0" applyFont="1" applyAlignment="1">
      <alignment horizontal="left" indent="3"/>
    </xf>
    <xf numFmtId="0" fontId="20" fillId="0" borderId="1" xfId="0" applyFont="1" applyBorder="1" applyAlignment="1">
      <alignment horizontal="left" indent="3"/>
    </xf>
    <xf numFmtId="0" fontId="4" fillId="0" borderId="0" xfId="0" applyFont="1" applyAlignment="1">
      <alignment horizontal="center" wrapText="1"/>
    </xf>
    <xf numFmtId="0" fontId="11" fillId="7" borderId="0" xfId="0" applyFont="1" applyFill="1" applyAlignment="1">
      <alignment horizontal="center" wrapText="1"/>
    </xf>
    <xf numFmtId="0" fontId="6" fillId="11" borderId="0" xfId="0" applyFont="1" applyFill="1" applyAlignment="1">
      <alignment horizontal="center" wrapText="1"/>
    </xf>
    <xf numFmtId="0" fontId="6" fillId="11" borderId="0" xfId="0" applyFont="1" applyFill="1" applyAlignment="1">
      <alignment horizontal="right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center" wrapText="1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3" fontId="2" fillId="0" borderId="0" xfId="0" applyNumberFormat="1" applyFont="1"/>
    <xf numFmtId="43" fontId="0" fillId="0" borderId="0" xfId="0" applyNumberFormat="1"/>
    <xf numFmtId="0" fontId="22" fillId="4" borderId="0" xfId="0" applyFont="1" applyFill="1"/>
    <xf numFmtId="0" fontId="22" fillId="9" borderId="0" xfId="0" applyFont="1" applyFill="1"/>
    <xf numFmtId="0" fontId="22" fillId="5" borderId="0" xfId="0" applyFont="1" applyFill="1"/>
    <xf numFmtId="164" fontId="11" fillId="0" borderId="0" xfId="1" applyNumberFormat="1" applyFont="1" applyBorder="1"/>
    <xf numFmtId="0" fontId="13" fillId="0" borderId="0" xfId="0" applyFont="1" applyAlignment="1">
      <alignment horizontal="left" indent="4"/>
    </xf>
    <xf numFmtId="0" fontId="25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6" fillId="8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right"/>
    </xf>
    <xf numFmtId="164" fontId="11" fillId="0" borderId="1" xfId="1" applyNumberFormat="1" applyFont="1" applyBorder="1"/>
    <xf numFmtId="165" fontId="11" fillId="0" borderId="0" xfId="0" applyNumberFormat="1" applyFont="1"/>
    <xf numFmtId="166" fontId="10" fillId="0" borderId="0" xfId="0" applyNumberFormat="1" applyFont="1"/>
    <xf numFmtId="164" fontId="10" fillId="0" borderId="1" xfId="1" applyNumberFormat="1" applyFont="1" applyBorder="1" applyAlignment="1">
      <alignment horizontal="center"/>
    </xf>
    <xf numFmtId="164" fontId="15" fillId="0" borderId="1" xfId="1" applyNumberFormat="1" applyFont="1" applyFill="1" applyBorder="1" applyAlignment="1">
      <alignment horizontal="right"/>
    </xf>
    <xf numFmtId="164" fontId="7" fillId="0" borderId="0" xfId="1" applyNumberFormat="1" applyFont="1" applyFill="1" applyBorder="1" applyAlignment="1">
      <alignment horizontal="center"/>
    </xf>
    <xf numFmtId="164" fontId="15" fillId="0" borderId="1" xfId="1" applyNumberFormat="1" applyFont="1" applyFill="1" applyBorder="1" applyAlignment="1">
      <alignment horizontal="center"/>
    </xf>
    <xf numFmtId="164" fontId="20" fillId="0" borderId="0" xfId="0" applyNumberFormat="1" applyFont="1" applyAlignment="1">
      <alignment horizontal="right"/>
    </xf>
    <xf numFmtId="0" fontId="28" fillId="0" borderId="0" xfId="0" applyFont="1"/>
    <xf numFmtId="1" fontId="11" fillId="0" borderId="1" xfId="0" applyNumberFormat="1" applyFont="1" applyBorder="1" applyAlignment="1">
      <alignment horizontal="center"/>
    </xf>
    <xf numFmtId="0" fontId="21" fillId="0" borderId="0" xfId="0" applyFont="1"/>
    <xf numFmtId="9" fontId="0" fillId="0" borderId="0" xfId="9" applyFont="1"/>
    <xf numFmtId="164" fontId="2" fillId="0" borderId="0" xfId="0" applyNumberFormat="1" applyFont="1"/>
    <xf numFmtId="164" fontId="21" fillId="0" borderId="0" xfId="0" applyNumberFormat="1" applyFont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right"/>
    </xf>
    <xf numFmtId="164" fontId="10" fillId="0" borderId="0" xfId="1" applyNumberFormat="1" applyFont="1" applyFill="1" applyBorder="1" applyAlignment="1">
      <alignment horizontal="center"/>
    </xf>
    <xf numFmtId="164" fontId="10" fillId="0" borderId="0" xfId="1" applyNumberFormat="1" applyFont="1" applyFill="1" applyBorder="1" applyAlignment="1">
      <alignment horizontal="right"/>
    </xf>
    <xf numFmtId="164" fontId="27" fillId="0" borderId="0" xfId="1" applyNumberFormat="1" applyFont="1" applyFill="1" applyBorder="1"/>
    <xf numFmtId="164" fontId="11" fillId="0" borderId="0" xfId="1" applyNumberFormat="1" applyFont="1" applyFill="1" applyBorder="1"/>
    <xf numFmtId="1" fontId="11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 vertical="center"/>
    </xf>
    <xf numFmtId="164" fontId="15" fillId="0" borderId="0" xfId="1" applyNumberFormat="1" applyFont="1" applyFill="1" applyBorder="1" applyAlignment="1">
      <alignment horizontal="center"/>
    </xf>
    <xf numFmtId="164" fontId="15" fillId="0" borderId="0" xfId="1" applyNumberFormat="1" applyFont="1" applyFill="1" applyBorder="1" applyAlignment="1">
      <alignment horizontal="right"/>
    </xf>
    <xf numFmtId="0" fontId="2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22" fillId="0" borderId="0" xfId="0" applyFont="1"/>
    <xf numFmtId="165" fontId="15" fillId="0" borderId="0" xfId="0" applyNumberFormat="1" applyFont="1"/>
    <xf numFmtId="9" fontId="0" fillId="0" borderId="0" xfId="9" applyFont="1" applyFill="1" applyBorder="1" applyAlignment="1">
      <alignment horizontal="left"/>
    </xf>
    <xf numFmtId="164" fontId="0" fillId="0" borderId="0" xfId="1" applyNumberFormat="1" applyFont="1" applyFill="1" applyBorder="1"/>
    <xf numFmtId="43" fontId="9" fillId="0" borderId="0" xfId="0" applyNumberFormat="1" applyFont="1" applyAlignment="1">
      <alignment horizontal="center"/>
    </xf>
    <xf numFmtId="164" fontId="19" fillId="0" borderId="0" xfId="1" applyNumberFormat="1" applyFont="1" applyFill="1" applyBorder="1"/>
    <xf numFmtId="164" fontId="10" fillId="0" borderId="0" xfId="1" applyNumberFormat="1" applyFont="1" applyFill="1" applyBorder="1" applyAlignment="1">
      <alignment horizontal="left"/>
    </xf>
    <xf numFmtId="0" fontId="7" fillId="0" borderId="0" xfId="0" applyFont="1" applyAlignment="1">
      <alignment horizontal="left"/>
    </xf>
    <xf numFmtId="164" fontId="10" fillId="0" borderId="1" xfId="1" applyNumberFormat="1" applyFont="1" applyBorder="1"/>
    <xf numFmtId="3" fontId="11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 wrapText="1"/>
    </xf>
    <xf numFmtId="167" fontId="0" fillId="0" borderId="0" xfId="9" applyNumberFormat="1" applyFont="1"/>
    <xf numFmtId="167" fontId="0" fillId="0" borderId="0" xfId="0" applyNumberFormat="1"/>
    <xf numFmtId="0" fontId="31" fillId="0" borderId="0" xfId="0" applyFont="1" applyAlignment="1">
      <alignment horizontal="left"/>
    </xf>
    <xf numFmtId="0" fontId="27" fillId="0" borderId="0" xfId="0" applyFont="1" applyAlignment="1">
      <alignment horizontal="left" indent="4"/>
    </xf>
    <xf numFmtId="0" fontId="22" fillId="0" borderId="0" xfId="0" applyFont="1" applyAlignment="1">
      <alignment vertical="center"/>
    </xf>
    <xf numFmtId="0" fontId="32" fillId="0" borderId="0" xfId="0" applyFont="1" applyAlignment="1">
      <alignment horizontal="left" indent="4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4" fillId="0" borderId="0" xfId="0" applyFont="1" applyAlignment="1">
      <alignment horizontal="center" vertical="center"/>
    </xf>
    <xf numFmtId="3" fontId="11" fillId="12" borderId="1" xfId="0" applyNumberFormat="1" applyFont="1" applyFill="1" applyBorder="1"/>
    <xf numFmtId="3" fontId="10" fillId="12" borderId="0" xfId="0" applyNumberFormat="1" applyFont="1" applyFill="1"/>
    <xf numFmtId="0" fontId="29" fillId="11" borderId="0" xfId="0" applyFont="1" applyFill="1" applyAlignment="1">
      <alignment horizontal="center" vertical="top" wrapText="1"/>
    </xf>
    <xf numFmtId="0" fontId="5" fillId="11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5" fillId="11" borderId="0" xfId="0" applyFont="1" applyFill="1" applyAlignment="1">
      <alignment horizontal="center" vertical="top" wrapText="1"/>
    </xf>
    <xf numFmtId="3" fontId="11" fillId="12" borderId="0" xfId="0" applyNumberFormat="1" applyFont="1" applyFill="1"/>
    <xf numFmtId="0" fontId="12" fillId="14" borderId="0" xfId="0" applyFont="1" applyFill="1"/>
    <xf numFmtId="0" fontId="11" fillId="14" borderId="0" xfId="0" applyFont="1" applyFill="1" applyAlignment="1">
      <alignment horizontal="left" indent="4"/>
    </xf>
    <xf numFmtId="3" fontId="11" fillId="14" borderId="0" xfId="0" applyNumberFormat="1" applyFont="1" applyFill="1"/>
    <xf numFmtId="0" fontId="11" fillId="14" borderId="0" xfId="0" applyFont="1" applyFill="1"/>
    <xf numFmtId="37" fontId="11" fillId="3" borderId="0" xfId="0" applyNumberFormat="1" applyFont="1" applyFill="1"/>
    <xf numFmtId="37" fontId="11" fillId="6" borderId="0" xfId="0" applyNumberFormat="1" applyFont="1" applyFill="1"/>
    <xf numFmtId="37" fontId="11" fillId="5" borderId="0" xfId="0" applyNumberFormat="1" applyFont="1" applyFill="1"/>
    <xf numFmtId="37" fontId="11" fillId="9" borderId="0" xfId="0" applyNumberFormat="1" applyFont="1" applyFill="1"/>
    <xf numFmtId="37" fontId="11" fillId="4" borderId="0" xfId="0" applyNumberFormat="1" applyFont="1" applyFill="1"/>
    <xf numFmtId="37" fontId="11" fillId="10" borderId="0" xfId="0" applyNumberFormat="1" applyFont="1" applyFill="1"/>
    <xf numFmtId="37" fontId="11" fillId="14" borderId="0" xfId="0" applyNumberFormat="1" applyFont="1" applyFill="1"/>
    <xf numFmtId="0" fontId="22" fillId="0" borderId="0" xfId="0" applyFont="1" applyAlignment="1">
      <alignment horizontal="right"/>
    </xf>
    <xf numFmtId="37" fontId="11" fillId="6" borderId="0" xfId="0" applyNumberFormat="1" applyFont="1" applyFill="1" applyAlignment="1">
      <alignment horizontal="center"/>
    </xf>
    <xf numFmtId="164" fontId="11" fillId="0" borderId="0" xfId="1" applyNumberFormat="1" applyFont="1" applyBorder="1" applyAlignment="1">
      <alignment horizontal="center"/>
    </xf>
    <xf numFmtId="37" fontId="11" fillId="3" borderId="0" xfId="0" applyNumberFormat="1" applyFont="1" applyFill="1" applyAlignment="1">
      <alignment horizontal="center"/>
    </xf>
    <xf numFmtId="3" fontId="11" fillId="12" borderId="0" xfId="0" applyNumberFormat="1" applyFont="1" applyFill="1" applyAlignment="1">
      <alignment horizontal="center"/>
    </xf>
    <xf numFmtId="3" fontId="10" fillId="12" borderId="0" xfId="0" applyNumberFormat="1" applyFont="1" applyFill="1" applyAlignment="1">
      <alignment horizontal="center"/>
    </xf>
    <xf numFmtId="3" fontId="10" fillId="0" borderId="0" xfId="0" applyNumberFormat="1" applyFont="1" applyAlignment="1">
      <alignment horizontal="center"/>
    </xf>
    <xf numFmtId="3" fontId="15" fillId="0" borderId="0" xfId="0" applyNumberFormat="1" applyFont="1" applyAlignment="1">
      <alignment horizontal="center"/>
    </xf>
    <xf numFmtId="164" fontId="11" fillId="8" borderId="0" xfId="1" applyNumberFormat="1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37" fontId="11" fillId="5" borderId="0" xfId="0" applyNumberFormat="1" applyFont="1" applyFill="1" applyAlignment="1">
      <alignment horizontal="center"/>
    </xf>
    <xf numFmtId="37" fontId="11" fillId="9" borderId="0" xfId="0" applyNumberFormat="1" applyFont="1" applyFill="1" applyAlignment="1">
      <alignment horizontal="center"/>
    </xf>
    <xf numFmtId="37" fontId="11" fillId="4" borderId="0" xfId="0" applyNumberFormat="1" applyFont="1" applyFill="1" applyAlignment="1">
      <alignment horizontal="center"/>
    </xf>
    <xf numFmtId="37" fontId="11" fillId="10" borderId="0" xfId="0" applyNumberFormat="1" applyFont="1" applyFill="1" applyAlignment="1">
      <alignment horizontal="center"/>
    </xf>
    <xf numFmtId="37" fontId="11" fillId="14" borderId="0" xfId="0" applyNumberFormat="1" applyFont="1" applyFill="1" applyAlignment="1">
      <alignment horizontal="center"/>
    </xf>
    <xf numFmtId="164" fontId="11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164" fontId="12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0" fontId="5" fillId="11" borderId="5" xfId="0" applyFont="1" applyFill="1" applyBorder="1" applyAlignment="1">
      <alignment horizontal="center" vertical="top" wrapText="1"/>
    </xf>
    <xf numFmtId="0" fontId="29" fillId="11" borderId="5" xfId="0" applyFont="1" applyFill="1" applyBorder="1" applyAlignment="1">
      <alignment horizontal="center" vertical="top" wrapText="1"/>
    </xf>
    <xf numFmtId="0" fontId="6" fillId="11" borderId="5" xfId="0" applyFont="1" applyFill="1" applyBorder="1" applyAlignment="1">
      <alignment horizontal="right"/>
    </xf>
    <xf numFmtId="3" fontId="11" fillId="6" borderId="5" xfId="0" applyNumberFormat="1" applyFont="1" applyFill="1" applyBorder="1"/>
    <xf numFmtId="3" fontId="11" fillId="0" borderId="5" xfId="0" applyNumberFormat="1" applyFont="1" applyBorder="1"/>
    <xf numFmtId="164" fontId="10" fillId="0" borderId="5" xfId="1" applyNumberFormat="1" applyFont="1" applyBorder="1" applyAlignment="1">
      <alignment horizontal="right"/>
    </xf>
    <xf numFmtId="164" fontId="10" fillId="0" borderId="5" xfId="1" applyNumberFormat="1" applyFont="1" applyBorder="1"/>
    <xf numFmtId="164" fontId="11" fillId="0" borderId="5" xfId="1" applyNumberFormat="1" applyFont="1" applyBorder="1"/>
    <xf numFmtId="0" fontId="10" fillId="0" borderId="5" xfId="0" applyFont="1" applyBorder="1"/>
    <xf numFmtId="3" fontId="11" fillId="3" borderId="5" xfId="0" applyNumberFormat="1" applyFont="1" applyFill="1" applyBorder="1"/>
    <xf numFmtId="3" fontId="11" fillId="12" borderId="5" xfId="0" applyNumberFormat="1" applyFont="1" applyFill="1" applyBorder="1"/>
    <xf numFmtId="3" fontId="10" fillId="12" borderId="5" xfId="0" applyNumberFormat="1" applyFont="1" applyFill="1" applyBorder="1"/>
    <xf numFmtId="0" fontId="0" fillId="0" borderId="5" xfId="0" applyBorder="1"/>
    <xf numFmtId="3" fontId="10" fillId="0" borderId="5" xfId="0" applyNumberFormat="1" applyFont="1" applyBorder="1"/>
    <xf numFmtId="0" fontId="11" fillId="0" borderId="5" xfId="0" applyFont="1" applyBorder="1" applyAlignment="1">
      <alignment horizontal="right"/>
    </xf>
    <xf numFmtId="3" fontId="15" fillId="0" borderId="5" xfId="0" applyNumberFormat="1" applyFont="1" applyBorder="1"/>
    <xf numFmtId="164" fontId="11" fillId="8" borderId="5" xfId="1" applyNumberFormat="1" applyFont="1" applyFill="1" applyBorder="1"/>
    <xf numFmtId="164" fontId="10" fillId="0" borderId="5" xfId="1" applyNumberFormat="1" applyFont="1" applyFill="1" applyBorder="1"/>
    <xf numFmtId="3" fontId="11" fillId="5" borderId="5" xfId="0" applyNumberFormat="1" applyFont="1" applyFill="1" applyBorder="1"/>
    <xf numFmtId="3" fontId="11" fillId="9" borderId="5" xfId="0" applyNumberFormat="1" applyFont="1" applyFill="1" applyBorder="1"/>
    <xf numFmtId="3" fontId="11" fillId="4" borderId="5" xfId="0" applyNumberFormat="1" applyFont="1" applyFill="1" applyBorder="1"/>
    <xf numFmtId="3" fontId="11" fillId="10" borderId="5" xfId="0" applyNumberFormat="1" applyFont="1" applyFill="1" applyBorder="1"/>
    <xf numFmtId="3" fontId="11" fillId="14" borderId="5" xfId="0" applyNumberFormat="1" applyFont="1" applyFill="1" applyBorder="1"/>
    <xf numFmtId="0" fontId="5" fillId="11" borderId="5" xfId="0" applyFont="1" applyFill="1" applyBorder="1" applyAlignment="1">
      <alignment horizontal="center" vertical="center" wrapText="1"/>
    </xf>
    <xf numFmtId="164" fontId="11" fillId="0" borderId="5" xfId="0" applyNumberFormat="1" applyFont="1" applyBorder="1"/>
    <xf numFmtId="164" fontId="10" fillId="0" borderId="5" xfId="0" applyNumberFormat="1" applyFont="1" applyBorder="1"/>
    <xf numFmtId="164" fontId="12" fillId="0" borderId="5" xfId="0" applyNumberFormat="1" applyFont="1" applyBorder="1"/>
    <xf numFmtId="164" fontId="20" fillId="0" borderId="5" xfId="0" applyNumberFormat="1" applyFont="1" applyBorder="1" applyAlignment="1">
      <alignment horizontal="right"/>
    </xf>
    <xf numFmtId="14" fontId="6" fillId="11" borderId="0" xfId="0" applyNumberFormat="1" applyFont="1" applyFill="1" applyAlignment="1">
      <alignment horizontal="center" wrapText="1"/>
    </xf>
    <xf numFmtId="49" fontId="26" fillId="8" borderId="0" xfId="0" applyNumberFormat="1" applyFont="1" applyFill="1" applyAlignment="1">
      <alignment horizontal="center"/>
    </xf>
    <xf numFmtId="3" fontId="7" fillId="0" borderId="0" xfId="0" applyNumberFormat="1" applyFont="1" applyAlignment="1">
      <alignment horizontal="right"/>
    </xf>
    <xf numFmtId="2" fontId="22" fillId="0" borderId="0" xfId="0" applyNumberFormat="1" applyFont="1" applyAlignment="1">
      <alignment horizontal="right"/>
    </xf>
    <xf numFmtId="0" fontId="33" fillId="0" borderId="0" xfId="0" applyFont="1"/>
    <xf numFmtId="0" fontId="33" fillId="0" borderId="0" xfId="0" applyFont="1" applyAlignment="1">
      <alignment horizontal="center"/>
    </xf>
    <xf numFmtId="3" fontId="33" fillId="0" borderId="0" xfId="0" applyNumberFormat="1" applyFont="1" applyAlignment="1">
      <alignment horizontal="center"/>
    </xf>
    <xf numFmtId="0" fontId="34" fillId="0" borderId="0" xfId="0" applyFont="1"/>
    <xf numFmtId="3" fontId="34" fillId="0" borderId="0" xfId="0" applyNumberFormat="1" applyFont="1" applyAlignment="1">
      <alignment horizontal="center"/>
    </xf>
    <xf numFmtId="0" fontId="33" fillId="0" borderId="1" xfId="0" applyFont="1" applyBorder="1"/>
    <xf numFmtId="3" fontId="33" fillId="0" borderId="1" xfId="0" applyNumberFormat="1" applyFont="1" applyBorder="1" applyAlignment="1">
      <alignment horizontal="center"/>
    </xf>
    <xf numFmtId="0" fontId="34" fillId="0" borderId="1" xfId="0" applyFont="1" applyBorder="1"/>
    <xf numFmtId="3" fontId="34" fillId="0" borderId="1" xfId="0" applyNumberFormat="1" applyFont="1" applyBorder="1" applyAlignment="1">
      <alignment horizontal="center"/>
    </xf>
    <xf numFmtId="0" fontId="36" fillId="0" borderId="1" xfId="0" applyFont="1" applyBorder="1"/>
    <xf numFmtId="0" fontId="33" fillId="15" borderId="0" xfId="0" applyFont="1" applyFill="1"/>
    <xf numFmtId="3" fontId="33" fillId="15" borderId="0" xfId="0" applyNumberFormat="1" applyFont="1" applyFill="1" applyAlignment="1">
      <alignment horizontal="center"/>
    </xf>
    <xf numFmtId="0" fontId="33" fillId="16" borderId="0" xfId="0" applyFont="1" applyFill="1"/>
    <xf numFmtId="3" fontId="33" fillId="16" borderId="0" xfId="0" applyNumberFormat="1" applyFont="1" applyFill="1" applyAlignment="1">
      <alignment horizontal="center"/>
    </xf>
    <xf numFmtId="0" fontId="33" fillId="17" borderId="0" xfId="0" applyFont="1" applyFill="1"/>
    <xf numFmtId="3" fontId="33" fillId="17" borderId="0" xfId="0" applyNumberFormat="1" applyFont="1" applyFill="1" applyAlignment="1">
      <alignment horizontal="center"/>
    </xf>
    <xf numFmtId="0" fontId="33" fillId="18" borderId="0" xfId="0" applyFont="1" applyFill="1"/>
    <xf numFmtId="3" fontId="33" fillId="18" borderId="0" xfId="0" applyNumberFormat="1" applyFont="1" applyFill="1" applyAlignment="1">
      <alignment horizontal="center"/>
    </xf>
    <xf numFmtId="0" fontId="33" fillId="19" borderId="0" xfId="0" applyFont="1" applyFill="1"/>
    <xf numFmtId="3" fontId="33" fillId="19" borderId="0" xfId="0" applyNumberFormat="1" applyFont="1" applyFill="1" applyAlignment="1">
      <alignment horizontal="center"/>
    </xf>
    <xf numFmtId="0" fontId="33" fillId="20" borderId="0" xfId="0" applyFont="1" applyFill="1"/>
    <xf numFmtId="3" fontId="33" fillId="20" borderId="0" xfId="0" applyNumberFormat="1" applyFont="1" applyFill="1" applyAlignment="1">
      <alignment horizontal="center"/>
    </xf>
    <xf numFmtId="0" fontId="33" fillId="21" borderId="0" xfId="0" applyFont="1" applyFill="1"/>
    <xf numFmtId="0" fontId="34" fillId="21" borderId="0" xfId="0" applyFont="1" applyFill="1"/>
    <xf numFmtId="3" fontId="33" fillId="21" borderId="0" xfId="0" applyNumberFormat="1" applyFont="1" applyFill="1" applyAlignment="1">
      <alignment horizontal="center"/>
    </xf>
    <xf numFmtId="3" fontId="34" fillId="21" borderId="0" xfId="0" applyNumberFormat="1" applyFont="1" applyFill="1" applyAlignment="1">
      <alignment horizontal="center"/>
    </xf>
    <xf numFmtId="0" fontId="35" fillId="13" borderId="0" xfId="0" applyFont="1" applyFill="1"/>
    <xf numFmtId="3" fontId="35" fillId="13" borderId="0" xfId="0" applyNumberFormat="1" applyFont="1" applyFill="1" applyAlignment="1">
      <alignment horizontal="center"/>
    </xf>
    <xf numFmtId="0" fontId="37" fillId="0" borderId="0" xfId="0" applyFont="1" applyAlignment="1">
      <alignment horizontal="center"/>
    </xf>
    <xf numFmtId="0" fontId="37" fillId="0" borderId="0" xfId="0" applyFont="1"/>
    <xf numFmtId="3" fontId="37" fillId="0" borderId="0" xfId="0" applyNumberFormat="1" applyFont="1" applyAlignment="1">
      <alignment horizontal="center"/>
    </xf>
    <xf numFmtId="0" fontId="36" fillId="0" borderId="0" xfId="0" applyFont="1"/>
    <xf numFmtId="0" fontId="38" fillId="0" borderId="0" xfId="0" applyFont="1"/>
    <xf numFmtId="0" fontId="33" fillId="0" borderId="1" xfId="0" applyFont="1" applyBorder="1" applyAlignment="1">
      <alignment horizontal="center"/>
    </xf>
    <xf numFmtId="0" fontId="34" fillId="13" borderId="0" xfId="0" applyFont="1" applyFill="1"/>
    <xf numFmtId="0" fontId="33" fillId="13" borderId="0" xfId="0" applyFont="1" applyFill="1"/>
    <xf numFmtId="0" fontId="33" fillId="0" borderId="5" xfId="0" applyFont="1" applyBorder="1"/>
    <xf numFmtId="0" fontId="33" fillId="0" borderId="6" xfId="0" applyFont="1" applyBorder="1"/>
    <xf numFmtId="0" fontId="33" fillId="13" borderId="5" xfId="0" applyFont="1" applyFill="1" applyBorder="1"/>
    <xf numFmtId="0" fontId="34" fillId="0" borderId="5" xfId="0" applyFont="1" applyBorder="1"/>
    <xf numFmtId="0" fontId="34" fillId="0" borderId="6" xfId="0" applyFont="1" applyBorder="1"/>
    <xf numFmtId="0" fontId="34" fillId="13" borderId="5" xfId="0" applyFont="1" applyFill="1" applyBorder="1"/>
    <xf numFmtId="0" fontId="33" fillId="15" borderId="5" xfId="0" applyFont="1" applyFill="1" applyBorder="1"/>
    <xf numFmtId="0" fontId="33" fillId="20" borderId="5" xfId="0" applyFont="1" applyFill="1" applyBorder="1"/>
    <xf numFmtId="0" fontId="33" fillId="19" borderId="5" xfId="0" applyFont="1" applyFill="1" applyBorder="1"/>
    <xf numFmtId="0" fontId="33" fillId="17" borderId="5" xfId="0" applyFont="1" applyFill="1" applyBorder="1"/>
    <xf numFmtId="0" fontId="33" fillId="18" borderId="5" xfId="0" applyFont="1" applyFill="1" applyBorder="1"/>
    <xf numFmtId="0" fontId="33" fillId="16" borderId="5" xfId="0" applyFont="1" applyFill="1" applyBorder="1"/>
    <xf numFmtId="37" fontId="33" fillId="0" borderId="0" xfId="0" applyNumberFormat="1" applyFont="1" applyAlignment="1">
      <alignment horizontal="center"/>
    </xf>
    <xf numFmtId="37" fontId="33" fillId="15" borderId="0" xfId="0" applyNumberFormat="1" applyFont="1" applyFill="1" applyAlignment="1">
      <alignment horizontal="center"/>
    </xf>
    <xf numFmtId="37" fontId="33" fillId="16" borderId="0" xfId="0" applyNumberFormat="1" applyFont="1" applyFill="1" applyAlignment="1">
      <alignment horizontal="center"/>
    </xf>
    <xf numFmtId="37" fontId="33" fillId="0" borderId="1" xfId="0" applyNumberFormat="1" applyFont="1" applyBorder="1" applyAlignment="1">
      <alignment horizontal="center"/>
    </xf>
    <xf numFmtId="37" fontId="35" fillId="13" borderId="0" xfId="0" applyNumberFormat="1" applyFont="1" applyFill="1" applyAlignment="1">
      <alignment horizontal="center"/>
    </xf>
    <xf numFmtId="37" fontId="33" fillId="17" borderId="0" xfId="0" applyNumberFormat="1" applyFont="1" applyFill="1" applyAlignment="1">
      <alignment horizontal="center"/>
    </xf>
    <xf numFmtId="37" fontId="34" fillId="0" borderId="0" xfId="0" applyNumberFormat="1" applyFont="1" applyAlignment="1">
      <alignment horizontal="center"/>
    </xf>
    <xf numFmtId="37" fontId="33" fillId="19" borderId="0" xfId="0" applyNumberFormat="1" applyFont="1" applyFill="1" applyAlignment="1">
      <alignment horizontal="center"/>
    </xf>
    <xf numFmtId="37" fontId="33" fillId="18" borderId="0" xfId="0" applyNumberFormat="1" applyFont="1" applyFill="1" applyAlignment="1">
      <alignment horizontal="center"/>
    </xf>
    <xf numFmtId="37" fontId="33" fillId="20" borderId="0" xfId="0" applyNumberFormat="1" applyFont="1" applyFill="1" applyAlignment="1">
      <alignment horizontal="center"/>
    </xf>
    <xf numFmtId="37" fontId="34" fillId="0" borderId="1" xfId="0" applyNumberFormat="1" applyFont="1" applyBorder="1" applyAlignment="1">
      <alignment horizontal="center"/>
    </xf>
    <xf numFmtId="3" fontId="33" fillId="13" borderId="0" xfId="0" applyNumberFormat="1" applyFont="1" applyFill="1" applyAlignment="1">
      <alignment horizontal="center"/>
    </xf>
    <xf numFmtId="0" fontId="33" fillId="13" borderId="0" xfId="0" applyFont="1" applyFill="1" applyAlignment="1">
      <alignment horizontal="center"/>
    </xf>
    <xf numFmtId="0" fontId="34" fillId="21" borderId="5" xfId="0" applyFont="1" applyFill="1" applyBorder="1"/>
    <xf numFmtId="0" fontId="33" fillId="21" borderId="5" xfId="0" applyFont="1" applyFill="1" applyBorder="1"/>
    <xf numFmtId="37" fontId="33" fillId="21" borderId="0" xfId="0" applyNumberFormat="1" applyFont="1" applyFill="1" applyAlignment="1">
      <alignment horizontal="center"/>
    </xf>
    <xf numFmtId="3" fontId="36" fillId="0" borderId="1" xfId="0" applyNumberFormat="1" applyFont="1" applyBorder="1" applyAlignment="1">
      <alignment horizontal="center"/>
    </xf>
    <xf numFmtId="37" fontId="36" fillId="0" borderId="1" xfId="0" applyNumberFormat="1" applyFont="1" applyBorder="1" applyAlignment="1">
      <alignment horizontal="center"/>
    </xf>
    <xf numFmtId="0" fontId="43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9" fontId="39" fillId="0" borderId="0" xfId="9" applyFont="1" applyAlignment="1">
      <alignment horizontal="right" vertical="center"/>
    </xf>
    <xf numFmtId="9" fontId="39" fillId="0" borderId="0" xfId="9" applyFont="1" applyBorder="1" applyAlignment="1">
      <alignment vertical="center"/>
    </xf>
    <xf numFmtId="0" fontId="4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47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 indent="1"/>
    </xf>
    <xf numFmtId="0" fontId="48" fillId="0" borderId="0" xfId="0" applyFont="1" applyAlignment="1">
      <alignment vertical="center"/>
    </xf>
    <xf numFmtId="0" fontId="45" fillId="0" borderId="10" xfId="0" applyFont="1" applyBorder="1" applyAlignment="1">
      <alignment horizontal="center" vertical="center" wrapText="1"/>
    </xf>
    <xf numFmtId="0" fontId="45" fillId="0" borderId="11" xfId="0" applyFont="1" applyBorder="1" applyAlignment="1">
      <alignment horizontal="left" vertical="center" wrapText="1"/>
    </xf>
    <xf numFmtId="0" fontId="45" fillId="0" borderId="12" xfId="0" applyFont="1" applyBorder="1" applyAlignment="1">
      <alignment horizontal="center" vertical="center" wrapText="1"/>
    </xf>
    <xf numFmtId="0" fontId="45" fillId="22" borderId="13" xfId="0" applyFont="1" applyFill="1" applyBorder="1" applyAlignment="1">
      <alignment horizontal="center" vertical="center" wrapText="1"/>
    </xf>
    <xf numFmtId="0" fontId="48" fillId="0" borderId="15" xfId="0" applyFont="1" applyBorder="1" applyAlignment="1">
      <alignment horizontal="center" vertical="center" wrapText="1"/>
    </xf>
    <xf numFmtId="0" fontId="49" fillId="0" borderId="0" xfId="0" applyFont="1" applyAlignment="1">
      <alignment vertical="center"/>
    </xf>
    <xf numFmtId="0" fontId="39" fillId="0" borderId="19" xfId="0" applyFont="1" applyBorder="1" applyAlignment="1">
      <alignment horizontal="center" vertical="center"/>
    </xf>
    <xf numFmtId="37" fontId="39" fillId="0" borderId="20" xfId="0" applyNumberFormat="1" applyFont="1" applyBorder="1" applyAlignment="1">
      <alignment vertical="center"/>
    </xf>
    <xf numFmtId="37" fontId="39" fillId="22" borderId="21" xfId="0" applyNumberFormat="1" applyFont="1" applyFill="1" applyBorder="1" applyAlignment="1">
      <alignment vertical="center"/>
    </xf>
    <xf numFmtId="0" fontId="0" fillId="0" borderId="23" xfId="0" applyBorder="1"/>
    <xf numFmtId="37" fontId="39" fillId="24" borderId="24" xfId="0" applyNumberFormat="1" applyFont="1" applyFill="1" applyBorder="1" applyAlignment="1">
      <alignment vertical="center"/>
    </xf>
    <xf numFmtId="37" fontId="39" fillId="24" borderId="19" xfId="0" applyNumberFormat="1" applyFont="1" applyFill="1" applyBorder="1" applyAlignment="1">
      <alignment vertical="center"/>
    </xf>
    <xf numFmtId="37" fontId="39" fillId="24" borderId="25" xfId="0" applyNumberFormat="1" applyFont="1" applyFill="1" applyBorder="1" applyAlignment="1">
      <alignment vertical="center"/>
    </xf>
    <xf numFmtId="37" fontId="39" fillId="0" borderId="25" xfId="0" applyNumberFormat="1" applyFont="1" applyBorder="1" applyAlignment="1">
      <alignment horizontal="left" vertical="center"/>
    </xf>
    <xf numFmtId="2" fontId="0" fillId="0" borderId="23" xfId="0" applyNumberFormat="1" applyBorder="1"/>
    <xf numFmtId="0" fontId="39" fillId="0" borderId="27" xfId="0" applyFont="1" applyBorder="1" applyAlignment="1">
      <alignment horizontal="center" vertical="center"/>
    </xf>
    <xf numFmtId="37" fontId="39" fillId="0" borderId="28" xfId="0" applyNumberFormat="1" applyFont="1" applyBorder="1" applyAlignment="1">
      <alignment horizontal="left" vertical="center"/>
    </xf>
    <xf numFmtId="37" fontId="39" fillId="22" borderId="29" xfId="0" applyNumberFormat="1" applyFont="1" applyFill="1" applyBorder="1" applyAlignment="1">
      <alignment vertical="center"/>
    </xf>
    <xf numFmtId="37" fontId="39" fillId="24" borderId="30" xfId="0" applyNumberFormat="1" applyFont="1" applyFill="1" applyBorder="1" applyAlignment="1">
      <alignment vertical="center"/>
    </xf>
    <xf numFmtId="37" fontId="39" fillId="24" borderId="27" xfId="0" applyNumberFormat="1" applyFont="1" applyFill="1" applyBorder="1" applyAlignment="1">
      <alignment vertical="center"/>
    </xf>
    <xf numFmtId="37" fontId="39" fillId="24" borderId="28" xfId="0" applyNumberFormat="1" applyFont="1" applyFill="1" applyBorder="1" applyAlignment="1">
      <alignment vertical="center"/>
    </xf>
    <xf numFmtId="0" fontId="45" fillId="0" borderId="32" xfId="0" applyFont="1" applyBorder="1" applyAlignment="1">
      <alignment vertical="center"/>
    </xf>
    <xf numFmtId="37" fontId="45" fillId="0" borderId="33" xfId="0" applyNumberFormat="1" applyFont="1" applyBorder="1" applyAlignment="1">
      <alignment horizontal="left" vertical="center"/>
    </xf>
    <xf numFmtId="37" fontId="45" fillId="0" borderId="34" xfId="0" applyNumberFormat="1" applyFont="1" applyBorder="1" applyAlignment="1">
      <alignment vertical="center"/>
    </xf>
    <xf numFmtId="37" fontId="45" fillId="22" borderId="35" xfId="0" applyNumberFormat="1" applyFont="1" applyFill="1" applyBorder="1" applyAlignment="1">
      <alignment vertical="center"/>
    </xf>
    <xf numFmtId="0" fontId="48" fillId="0" borderId="34" xfId="0" applyFont="1" applyBorder="1" applyAlignment="1">
      <alignment vertical="center"/>
    </xf>
    <xf numFmtId="37" fontId="39" fillId="0" borderId="0" xfId="0" applyNumberFormat="1" applyFont="1" applyAlignment="1">
      <alignment horizontal="left" vertical="center"/>
    </xf>
    <xf numFmtId="37" fontId="39" fillId="0" borderId="0" xfId="0" applyNumberFormat="1" applyFont="1" applyAlignment="1">
      <alignment vertical="center"/>
    </xf>
    <xf numFmtId="37" fontId="45" fillId="0" borderId="0" xfId="0" applyNumberFormat="1" applyFont="1" applyAlignment="1">
      <alignment vertical="center"/>
    </xf>
    <xf numFmtId="37" fontId="45" fillId="0" borderId="7" xfId="0" applyNumberFormat="1" applyFont="1" applyBorder="1" applyAlignment="1">
      <alignment horizontal="left" vertical="center"/>
    </xf>
    <xf numFmtId="37" fontId="45" fillId="0" borderId="39" xfId="0" applyNumberFormat="1" applyFont="1" applyBorder="1" applyAlignment="1">
      <alignment vertical="center"/>
    </xf>
    <xf numFmtId="9" fontId="45" fillId="0" borderId="0" xfId="9" applyFont="1" applyBorder="1" applyAlignment="1">
      <alignment horizontal="center" vertical="center" wrapText="1"/>
    </xf>
    <xf numFmtId="9" fontId="45" fillId="0" borderId="0" xfId="9" applyFont="1" applyAlignment="1">
      <alignment horizontal="right" vertical="center"/>
    </xf>
    <xf numFmtId="9" fontId="45" fillId="0" borderId="0" xfId="9" applyFont="1" applyFill="1" applyBorder="1" applyAlignment="1">
      <alignment horizontal="right" vertical="center"/>
    </xf>
    <xf numFmtId="37" fontId="39" fillId="0" borderId="0" xfId="9" applyNumberFormat="1" applyFont="1" applyBorder="1" applyAlignment="1">
      <alignment vertical="center"/>
    </xf>
    <xf numFmtId="0" fontId="45" fillId="8" borderId="16" xfId="0" applyFont="1" applyFill="1" applyBorder="1" applyAlignment="1">
      <alignment horizontal="center" vertical="center" wrapText="1"/>
    </xf>
    <xf numFmtId="37" fontId="39" fillId="8" borderId="24" xfId="0" applyNumberFormat="1" applyFont="1" applyFill="1" applyBorder="1" applyAlignment="1">
      <alignment vertical="center"/>
    </xf>
    <xf numFmtId="37" fontId="39" fillId="8" borderId="30" xfId="0" applyNumberFormat="1" applyFont="1" applyFill="1" applyBorder="1" applyAlignment="1">
      <alignment vertical="center"/>
    </xf>
    <xf numFmtId="37" fontId="45" fillId="8" borderId="37" xfId="0" applyNumberFormat="1" applyFont="1" applyFill="1" applyBorder="1" applyAlignment="1">
      <alignment vertical="center"/>
    </xf>
    <xf numFmtId="37" fontId="45" fillId="8" borderId="39" xfId="0" applyNumberFormat="1" applyFont="1" applyFill="1" applyBorder="1" applyAlignment="1">
      <alignment vertical="center"/>
    </xf>
    <xf numFmtId="0" fontId="45" fillId="6" borderId="17" xfId="0" applyFont="1" applyFill="1" applyBorder="1" applyAlignment="1">
      <alignment horizontal="center" vertical="center" wrapText="1"/>
    </xf>
    <xf numFmtId="37" fontId="39" fillId="6" borderId="19" xfId="0" applyNumberFormat="1" applyFont="1" applyFill="1" applyBorder="1" applyAlignment="1">
      <alignment vertical="center"/>
    </xf>
    <xf numFmtId="37" fontId="39" fillId="6" borderId="27" xfId="0" applyNumberFormat="1" applyFont="1" applyFill="1" applyBorder="1" applyAlignment="1">
      <alignment vertical="center"/>
    </xf>
    <xf numFmtId="37" fontId="45" fillId="6" borderId="32" xfId="0" applyNumberFormat="1" applyFont="1" applyFill="1" applyBorder="1" applyAlignment="1">
      <alignment vertical="center"/>
    </xf>
    <xf numFmtId="37" fontId="45" fillId="6" borderId="7" xfId="0" applyNumberFormat="1" applyFont="1" applyFill="1" applyBorder="1" applyAlignment="1">
      <alignment vertical="center"/>
    </xf>
    <xf numFmtId="0" fontId="45" fillId="3" borderId="16" xfId="0" applyFont="1" applyFill="1" applyBorder="1" applyAlignment="1">
      <alignment horizontal="center" vertical="center" wrapText="1"/>
    </xf>
    <xf numFmtId="37" fontId="39" fillId="3" borderId="24" xfId="0" applyNumberFormat="1" applyFont="1" applyFill="1" applyBorder="1" applyAlignment="1">
      <alignment vertical="center"/>
    </xf>
    <xf numFmtId="37" fontId="39" fillId="3" borderId="30" xfId="0" applyNumberFormat="1" applyFont="1" applyFill="1" applyBorder="1" applyAlignment="1">
      <alignment vertical="center"/>
    </xf>
    <xf numFmtId="37" fontId="45" fillId="3" borderId="37" xfId="0" applyNumberFormat="1" applyFont="1" applyFill="1" applyBorder="1" applyAlignment="1">
      <alignment vertical="center"/>
    </xf>
    <xf numFmtId="37" fontId="45" fillId="3" borderId="40" xfId="0" applyNumberFormat="1" applyFont="1" applyFill="1" applyBorder="1" applyAlignment="1">
      <alignment vertical="center"/>
    </xf>
    <xf numFmtId="0" fontId="45" fillId="4" borderId="6" xfId="0" applyFont="1" applyFill="1" applyBorder="1" applyAlignment="1">
      <alignment horizontal="center" vertical="center" wrapText="1"/>
    </xf>
    <xf numFmtId="37" fontId="39" fillId="4" borderId="25" xfId="0" applyNumberFormat="1" applyFont="1" applyFill="1" applyBorder="1" applyAlignment="1">
      <alignment vertical="center"/>
    </xf>
    <xf numFmtId="37" fontId="39" fillId="4" borderId="28" xfId="0" applyNumberFormat="1" applyFont="1" applyFill="1" applyBorder="1" applyAlignment="1">
      <alignment vertical="center"/>
    </xf>
    <xf numFmtId="37" fontId="45" fillId="4" borderId="33" xfId="0" applyNumberFormat="1" applyFont="1" applyFill="1" applyBorder="1" applyAlignment="1">
      <alignment vertical="center"/>
    </xf>
    <xf numFmtId="37" fontId="45" fillId="4" borderId="40" xfId="0" applyNumberFormat="1" applyFont="1" applyFill="1" applyBorder="1" applyAlignment="1">
      <alignment vertical="center"/>
    </xf>
    <xf numFmtId="0" fontId="45" fillId="5" borderId="6" xfId="0" applyFont="1" applyFill="1" applyBorder="1" applyAlignment="1">
      <alignment horizontal="center" vertical="center" wrapText="1"/>
    </xf>
    <xf numFmtId="37" fontId="39" fillId="5" borderId="25" xfId="0" applyNumberFormat="1" applyFont="1" applyFill="1" applyBorder="1" applyAlignment="1">
      <alignment vertical="center"/>
    </xf>
    <xf numFmtId="37" fontId="39" fillId="5" borderId="28" xfId="0" applyNumberFormat="1" applyFont="1" applyFill="1" applyBorder="1" applyAlignment="1">
      <alignment vertical="center"/>
    </xf>
    <xf numFmtId="37" fontId="45" fillId="5" borderId="33" xfId="0" applyNumberFormat="1" applyFont="1" applyFill="1" applyBorder="1" applyAlignment="1">
      <alignment vertical="center"/>
    </xf>
    <xf numFmtId="37" fontId="45" fillId="5" borderId="40" xfId="0" applyNumberFormat="1" applyFont="1" applyFill="1" applyBorder="1" applyAlignment="1">
      <alignment vertical="center"/>
    </xf>
    <xf numFmtId="0" fontId="45" fillId="10" borderId="16" xfId="0" applyFont="1" applyFill="1" applyBorder="1" applyAlignment="1">
      <alignment horizontal="center" vertical="center" wrapText="1"/>
    </xf>
    <xf numFmtId="37" fontId="39" fillId="10" borderId="24" xfId="0" applyNumberFormat="1" applyFont="1" applyFill="1" applyBorder="1" applyAlignment="1">
      <alignment vertical="center"/>
    </xf>
    <xf numFmtId="37" fontId="39" fillId="10" borderId="30" xfId="0" applyNumberFormat="1" applyFont="1" applyFill="1" applyBorder="1" applyAlignment="1">
      <alignment vertical="center"/>
    </xf>
    <xf numFmtId="37" fontId="45" fillId="10" borderId="37" xfId="0" applyNumberFormat="1" applyFont="1" applyFill="1" applyBorder="1" applyAlignment="1">
      <alignment vertical="center"/>
    </xf>
    <xf numFmtId="37" fontId="45" fillId="10" borderId="40" xfId="0" applyNumberFormat="1" applyFont="1" applyFill="1" applyBorder="1" applyAlignment="1">
      <alignment vertical="center"/>
    </xf>
    <xf numFmtId="0" fontId="45" fillId="9" borderId="16" xfId="0" applyFont="1" applyFill="1" applyBorder="1" applyAlignment="1">
      <alignment horizontal="center" vertical="center" wrapText="1"/>
    </xf>
    <xf numFmtId="37" fontId="39" fillId="9" borderId="24" xfId="0" applyNumberFormat="1" applyFont="1" applyFill="1" applyBorder="1" applyAlignment="1">
      <alignment vertical="center"/>
    </xf>
    <xf numFmtId="37" fontId="39" fillId="9" borderId="30" xfId="0" applyNumberFormat="1" applyFont="1" applyFill="1" applyBorder="1" applyAlignment="1">
      <alignment vertical="center"/>
    </xf>
    <xf numFmtId="37" fontId="45" fillId="9" borderId="37" xfId="0" applyNumberFormat="1" applyFont="1" applyFill="1" applyBorder="1" applyAlignment="1">
      <alignment vertical="center"/>
    </xf>
    <xf numFmtId="37" fontId="45" fillId="9" borderId="40" xfId="0" applyNumberFormat="1" applyFont="1" applyFill="1" applyBorder="1" applyAlignment="1">
      <alignment vertical="center"/>
    </xf>
    <xf numFmtId="0" fontId="45" fillId="25" borderId="14" xfId="0" applyFont="1" applyFill="1" applyBorder="1" applyAlignment="1">
      <alignment horizontal="center" vertical="center" wrapText="1"/>
    </xf>
    <xf numFmtId="37" fontId="39" fillId="25" borderId="22" xfId="0" applyNumberFormat="1" applyFont="1" applyFill="1" applyBorder="1" applyAlignment="1">
      <alignment vertical="center"/>
    </xf>
    <xf numFmtId="37" fontId="45" fillId="25" borderId="36" xfId="0" applyNumberFormat="1" applyFont="1" applyFill="1" applyBorder="1" applyAlignment="1">
      <alignment vertical="center"/>
    </xf>
    <xf numFmtId="0" fontId="45" fillId="26" borderId="15" xfId="0" applyFont="1" applyFill="1" applyBorder="1" applyAlignment="1">
      <alignment horizontal="center" vertical="center" wrapText="1"/>
    </xf>
    <xf numFmtId="37" fontId="45" fillId="26" borderId="20" xfId="0" applyNumberFormat="1" applyFont="1" applyFill="1" applyBorder="1" applyAlignment="1">
      <alignment vertical="center"/>
    </xf>
    <xf numFmtId="37" fontId="45" fillId="26" borderId="34" xfId="0" applyNumberFormat="1" applyFont="1" applyFill="1" applyBorder="1" applyAlignment="1">
      <alignment vertical="center"/>
    </xf>
    <xf numFmtId="0" fontId="45" fillId="27" borderId="12" xfId="0" applyFont="1" applyFill="1" applyBorder="1" applyAlignment="1">
      <alignment horizontal="center" vertical="center" wrapText="1"/>
    </xf>
    <xf numFmtId="37" fontId="39" fillId="27" borderId="20" xfId="0" applyNumberFormat="1" applyFont="1" applyFill="1" applyBorder="1" applyAlignment="1">
      <alignment vertical="center"/>
    </xf>
    <xf numFmtId="37" fontId="45" fillId="27" borderId="34" xfId="0" applyNumberFormat="1" applyFont="1" applyFill="1" applyBorder="1" applyAlignment="1">
      <alignment vertical="center"/>
    </xf>
    <xf numFmtId="37" fontId="45" fillId="27" borderId="7" xfId="0" applyNumberFormat="1" applyFont="1" applyFill="1" applyBorder="1" applyAlignment="1">
      <alignment vertical="center"/>
    </xf>
    <xf numFmtId="0" fontId="45" fillId="28" borderId="12" xfId="0" applyFont="1" applyFill="1" applyBorder="1" applyAlignment="1">
      <alignment horizontal="center" vertical="center" wrapText="1"/>
    </xf>
    <xf numFmtId="37" fontId="39" fillId="28" borderId="20" xfId="0" applyNumberFormat="1" applyFont="1" applyFill="1" applyBorder="1" applyAlignment="1">
      <alignment vertical="center"/>
    </xf>
    <xf numFmtId="37" fontId="45" fillId="28" borderId="34" xfId="0" applyNumberFormat="1" applyFont="1" applyFill="1" applyBorder="1" applyAlignment="1">
      <alignment vertical="center"/>
    </xf>
    <xf numFmtId="9" fontId="39" fillId="0" borderId="0" xfId="9" applyFont="1" applyFill="1" applyAlignment="1">
      <alignment horizontal="right" vertical="center"/>
    </xf>
    <xf numFmtId="37" fontId="48" fillId="0" borderId="0" xfId="0" applyNumberFormat="1" applyFont="1"/>
    <xf numFmtId="37" fontId="39" fillId="0" borderId="0" xfId="9" applyNumberFormat="1" applyFont="1" applyFill="1" applyAlignment="1">
      <alignment horizontal="right" vertical="center"/>
    </xf>
    <xf numFmtId="37" fontId="39" fillId="0" borderId="0" xfId="9" applyNumberFormat="1" applyFont="1" applyFill="1" applyBorder="1" applyAlignment="1">
      <alignment vertical="center"/>
    </xf>
    <xf numFmtId="0" fontId="45" fillId="14" borderId="18" xfId="0" applyFont="1" applyFill="1" applyBorder="1" applyAlignment="1">
      <alignment horizontal="center" vertical="center" wrapText="1"/>
    </xf>
    <xf numFmtId="37" fontId="39" fillId="14" borderId="26" xfId="0" applyNumberFormat="1" applyFont="1" applyFill="1" applyBorder="1" applyAlignment="1">
      <alignment vertical="center"/>
    </xf>
    <xf numFmtId="37" fontId="39" fillId="14" borderId="31" xfId="0" applyNumberFormat="1" applyFont="1" applyFill="1" applyBorder="1" applyAlignment="1">
      <alignment vertical="center"/>
    </xf>
    <xf numFmtId="37" fontId="45" fillId="14" borderId="38" xfId="0" applyNumberFormat="1" applyFont="1" applyFill="1" applyBorder="1" applyAlignment="1">
      <alignment vertical="center"/>
    </xf>
    <xf numFmtId="37" fontId="45" fillId="14" borderId="41" xfId="0" applyNumberFormat="1" applyFont="1" applyFill="1" applyBorder="1" applyAlignment="1">
      <alignment vertical="center"/>
    </xf>
    <xf numFmtId="2" fontId="45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right" vertical="center"/>
    </xf>
    <xf numFmtId="0" fontId="45" fillId="0" borderId="0" xfId="0" applyFont="1" applyAlignment="1">
      <alignment horizontal="center" vertical="center"/>
    </xf>
    <xf numFmtId="2" fontId="45" fillId="0" borderId="0" xfId="9" applyNumberFormat="1" applyFont="1" applyBorder="1" applyAlignment="1">
      <alignment horizontal="center" vertical="center"/>
    </xf>
    <xf numFmtId="164" fontId="43" fillId="0" borderId="0" xfId="1" applyNumberFormat="1" applyFont="1" applyAlignment="1">
      <alignment vertical="center"/>
    </xf>
    <xf numFmtId="0" fontId="47" fillId="0" borderId="0" xfId="0" applyFont="1" applyAlignment="1">
      <alignment vertical="center"/>
    </xf>
    <xf numFmtId="0" fontId="45" fillId="0" borderId="0" xfId="0" applyFont="1" applyAlignment="1">
      <alignment horizontal="left" vertical="center"/>
    </xf>
    <xf numFmtId="0" fontId="47" fillId="0" borderId="45" xfId="0" applyFont="1" applyBorder="1" applyAlignment="1">
      <alignment horizontal="left" vertical="center"/>
    </xf>
    <xf numFmtId="0" fontId="39" fillId="0" borderId="45" xfId="0" applyFont="1" applyBorder="1" applyAlignment="1">
      <alignment vertical="center"/>
    </xf>
    <xf numFmtId="0" fontId="45" fillId="0" borderId="39" xfId="0" applyFont="1" applyBorder="1" applyAlignment="1">
      <alignment horizontal="left" vertical="center" indent="3"/>
    </xf>
    <xf numFmtId="0" fontId="45" fillId="0" borderId="39" xfId="0" applyFont="1" applyBorder="1" applyAlignment="1">
      <alignment horizontal="left" vertical="center" indent="1"/>
    </xf>
    <xf numFmtId="9" fontId="45" fillId="0" borderId="0" xfId="0" applyNumberFormat="1" applyFont="1" applyAlignment="1">
      <alignment horizontal="center" vertical="center"/>
    </xf>
    <xf numFmtId="0" fontId="45" fillId="29" borderId="12" xfId="0" applyFont="1" applyFill="1" applyBorder="1" applyAlignment="1">
      <alignment horizontal="center" vertical="center" wrapText="1"/>
    </xf>
    <xf numFmtId="0" fontId="45" fillId="22" borderId="12" xfId="0" applyFont="1" applyFill="1" applyBorder="1" applyAlignment="1">
      <alignment horizontal="center" vertical="center" wrapText="1"/>
    </xf>
    <xf numFmtId="0" fontId="45" fillId="22" borderId="15" xfId="0" applyFont="1" applyFill="1" applyBorder="1" applyAlignment="1">
      <alignment horizontal="center" vertical="center" wrapText="1"/>
    </xf>
    <xf numFmtId="0" fontId="45" fillId="30" borderId="15" xfId="0" applyFont="1" applyFill="1" applyBorder="1" applyAlignment="1">
      <alignment horizontal="center" vertical="center" wrapText="1"/>
    </xf>
    <xf numFmtId="37" fontId="39" fillId="29" borderId="20" xfId="0" applyNumberFormat="1" applyFont="1" applyFill="1" applyBorder="1" applyAlignment="1">
      <alignment vertical="center"/>
    </xf>
    <xf numFmtId="37" fontId="39" fillId="22" borderId="46" xfId="0" applyNumberFormat="1" applyFont="1" applyFill="1" applyBorder="1" applyAlignment="1">
      <alignment vertical="center"/>
    </xf>
    <xf numFmtId="37" fontId="39" fillId="22" borderId="20" xfId="0" applyNumberFormat="1" applyFont="1" applyFill="1" applyBorder="1" applyAlignment="1">
      <alignment vertical="center"/>
    </xf>
    <xf numFmtId="37" fontId="39" fillId="30" borderId="20" xfId="0" applyNumberFormat="1" applyFont="1" applyFill="1" applyBorder="1" applyAlignment="1">
      <alignment vertical="center"/>
    </xf>
    <xf numFmtId="37" fontId="39" fillId="22" borderId="47" xfId="0" applyNumberFormat="1" applyFont="1" applyFill="1" applyBorder="1" applyAlignment="1">
      <alignment vertical="center"/>
    </xf>
    <xf numFmtId="37" fontId="45" fillId="29" borderId="34" xfId="0" applyNumberFormat="1" applyFont="1" applyFill="1" applyBorder="1" applyAlignment="1">
      <alignment vertical="center"/>
    </xf>
    <xf numFmtId="37" fontId="45" fillId="22" borderId="34" xfId="0" applyNumberFormat="1" applyFont="1" applyFill="1" applyBorder="1" applyAlignment="1">
      <alignment vertical="center"/>
    </xf>
    <xf numFmtId="37" fontId="45" fillId="30" borderId="34" xfId="0" applyNumberFormat="1" applyFont="1" applyFill="1" applyBorder="1" applyAlignment="1">
      <alignment vertical="center"/>
    </xf>
    <xf numFmtId="37" fontId="45" fillId="0" borderId="0" xfId="0" applyNumberFormat="1" applyFont="1" applyAlignment="1">
      <alignment horizontal="left" vertical="center"/>
    </xf>
    <xf numFmtId="0" fontId="45" fillId="0" borderId="48" xfId="0" applyFont="1" applyBorder="1" applyAlignment="1">
      <alignment horizontal="left" vertical="center" wrapText="1"/>
    </xf>
    <xf numFmtId="0" fontId="45" fillId="22" borderId="49" xfId="0" applyFont="1" applyFill="1" applyBorder="1" applyAlignment="1">
      <alignment horizontal="center" vertical="center" wrapText="1"/>
    </xf>
    <xf numFmtId="0" fontId="39" fillId="0" borderId="42" xfId="0" applyFont="1" applyBorder="1" applyAlignment="1">
      <alignment horizontal="center" vertical="center" wrapText="1"/>
    </xf>
    <xf numFmtId="0" fontId="39" fillId="0" borderId="44" xfId="0" applyFont="1" applyBorder="1" applyAlignment="1">
      <alignment horizontal="left" vertical="center" wrapText="1"/>
    </xf>
    <xf numFmtId="37" fontId="39" fillId="22" borderId="50" xfId="0" applyNumberFormat="1" applyFont="1" applyFill="1" applyBorder="1" applyAlignment="1">
      <alignment horizontal="right" vertical="center"/>
    </xf>
    <xf numFmtId="37" fontId="39" fillId="30" borderId="47" xfId="0" applyNumberFormat="1" applyFont="1" applyFill="1" applyBorder="1" applyAlignment="1">
      <alignment vertical="center"/>
    </xf>
    <xf numFmtId="0" fontId="39" fillId="0" borderId="51" xfId="0" applyFont="1" applyBorder="1" applyAlignment="1">
      <alignment horizontal="left" vertical="center" wrapText="1"/>
    </xf>
    <xf numFmtId="37" fontId="43" fillId="0" borderId="0" xfId="0" applyNumberFormat="1" applyFont="1" applyAlignment="1">
      <alignment vertical="center"/>
    </xf>
    <xf numFmtId="37" fontId="50" fillId="29" borderId="20" xfId="0" applyNumberFormat="1" applyFont="1" applyFill="1" applyBorder="1" applyAlignment="1">
      <alignment vertical="center"/>
    </xf>
    <xf numFmtId="37" fontId="45" fillId="0" borderId="37" xfId="0" applyNumberFormat="1" applyFont="1" applyBorder="1" applyAlignment="1">
      <alignment horizontal="left" vertical="center"/>
    </xf>
    <xf numFmtId="37" fontId="45" fillId="22" borderId="36" xfId="0" applyNumberFormat="1" applyFont="1" applyFill="1" applyBorder="1" applyAlignment="1">
      <alignment vertical="center"/>
    </xf>
    <xf numFmtId="37" fontId="39" fillId="22" borderId="22" xfId="0" applyNumberFormat="1" applyFont="1" applyFill="1" applyBorder="1" applyAlignment="1">
      <alignment horizontal="right" vertical="center"/>
    </xf>
    <xf numFmtId="0" fontId="45" fillId="0" borderId="7" xfId="0" applyFont="1" applyBorder="1" applyAlignment="1">
      <alignment horizontal="left" vertical="center"/>
    </xf>
    <xf numFmtId="0" fontId="45" fillId="0" borderId="8" xfId="0" applyFont="1" applyBorder="1" applyAlignment="1">
      <alignment horizontal="left" vertical="center"/>
    </xf>
    <xf numFmtId="0" fontId="48" fillId="0" borderId="39" xfId="0" applyFont="1" applyBorder="1" applyAlignment="1">
      <alignment horizontal="center" vertical="center"/>
    </xf>
    <xf numFmtId="0" fontId="45" fillId="0" borderId="8" xfId="0" applyFont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0" fontId="45" fillId="0" borderId="52" xfId="0" applyFont="1" applyBorder="1" applyAlignment="1">
      <alignment horizontal="center" vertical="center" wrapText="1"/>
    </xf>
    <xf numFmtId="0" fontId="45" fillId="0" borderId="40" xfId="0" applyFont="1" applyBorder="1" applyAlignment="1">
      <alignment horizontal="left" vertical="center" wrapText="1"/>
    </xf>
    <xf numFmtId="0" fontId="45" fillId="29" borderId="39" xfId="0" applyFont="1" applyFill="1" applyBorder="1" applyAlignment="1">
      <alignment horizontal="center" vertical="center" wrapText="1"/>
    </xf>
    <xf numFmtId="0" fontId="45" fillId="22" borderId="7" xfId="0" applyFont="1" applyFill="1" applyBorder="1" applyAlignment="1">
      <alignment horizontal="center" vertical="center" wrapText="1"/>
    </xf>
    <xf numFmtId="0" fontId="45" fillId="30" borderId="7" xfId="0" applyFont="1" applyFill="1" applyBorder="1" applyAlignment="1">
      <alignment horizontal="center" vertical="center" wrapText="1"/>
    </xf>
    <xf numFmtId="0" fontId="45" fillId="24" borderId="52" xfId="0" applyFont="1" applyFill="1" applyBorder="1" applyAlignment="1">
      <alignment horizontal="center" vertical="center" wrapText="1"/>
    </xf>
    <xf numFmtId="0" fontId="45" fillId="24" borderId="53" xfId="0" applyFont="1" applyFill="1" applyBorder="1" applyAlignment="1">
      <alignment horizontal="center" vertical="center" wrapText="1"/>
    </xf>
    <xf numFmtId="0" fontId="45" fillId="24" borderId="8" xfId="0" applyFont="1" applyFill="1" applyBorder="1" applyAlignment="1">
      <alignment horizontal="center" vertical="center" wrapText="1"/>
    </xf>
    <xf numFmtId="0" fontId="45" fillId="23" borderId="39" xfId="0" applyFont="1" applyFill="1" applyBorder="1" applyAlignment="1">
      <alignment horizontal="center" vertical="center" wrapText="1"/>
    </xf>
    <xf numFmtId="0" fontId="45" fillId="24" borderId="40" xfId="0" applyFont="1" applyFill="1" applyBorder="1" applyAlignment="1">
      <alignment horizontal="center" vertical="center" wrapText="1"/>
    </xf>
    <xf numFmtId="0" fontId="45" fillId="24" borderId="9" xfId="0" applyFont="1" applyFill="1" applyBorder="1" applyAlignment="1">
      <alignment horizontal="center" vertical="center" wrapText="1"/>
    </xf>
    <xf numFmtId="0" fontId="45" fillId="24" borderId="10" xfId="0" applyFont="1" applyFill="1" applyBorder="1" applyAlignment="1">
      <alignment horizontal="center" vertical="center" wrapText="1"/>
    </xf>
    <xf numFmtId="0" fontId="45" fillId="24" borderId="41" xfId="0" applyFont="1" applyFill="1" applyBorder="1" applyAlignment="1">
      <alignment horizontal="center" vertical="center" wrapText="1"/>
    </xf>
    <xf numFmtId="0" fontId="45" fillId="0" borderId="54" xfId="0" applyFont="1" applyBorder="1" applyAlignment="1">
      <alignment horizontal="center" vertical="center"/>
    </xf>
    <xf numFmtId="37" fontId="51" fillId="0" borderId="55" xfId="0" applyNumberFormat="1" applyFont="1" applyBorder="1" applyAlignment="1">
      <alignment horizontal="left" vertical="center"/>
    </xf>
    <xf numFmtId="37" fontId="39" fillId="29" borderId="56" xfId="0" applyNumberFormat="1" applyFont="1" applyFill="1" applyBorder="1" applyAlignment="1">
      <alignment vertical="center"/>
    </xf>
    <xf numFmtId="37" fontId="39" fillId="22" borderId="57" xfId="0" applyNumberFormat="1" applyFont="1" applyFill="1" applyBorder="1" applyAlignment="1">
      <alignment vertical="center"/>
    </xf>
    <xf numFmtId="37" fontId="39" fillId="30" borderId="57" xfId="0" applyNumberFormat="1" applyFont="1" applyFill="1" applyBorder="1" applyAlignment="1">
      <alignment vertical="center"/>
    </xf>
    <xf numFmtId="37" fontId="39" fillId="24" borderId="54" xfId="0" applyNumberFormat="1" applyFont="1" applyFill="1" applyBorder="1" applyAlignment="1">
      <alignment vertical="center"/>
    </xf>
    <xf numFmtId="37" fontId="39" fillId="24" borderId="55" xfId="0" applyNumberFormat="1" applyFont="1" applyFill="1" applyBorder="1" applyAlignment="1">
      <alignment vertical="center"/>
    </xf>
    <xf numFmtId="37" fontId="39" fillId="24" borderId="58" xfId="0" applyNumberFormat="1" applyFont="1" applyFill="1" applyBorder="1" applyAlignment="1">
      <alignment vertical="center"/>
    </xf>
    <xf numFmtId="37" fontId="39" fillId="23" borderId="56" xfId="0" applyNumberFormat="1" applyFont="1" applyFill="1" applyBorder="1" applyAlignment="1">
      <alignment vertical="center"/>
    </xf>
    <xf numFmtId="37" fontId="39" fillId="24" borderId="59" xfId="0" applyNumberFormat="1" applyFont="1" applyFill="1" applyBorder="1" applyAlignment="1">
      <alignment vertical="center"/>
    </xf>
    <xf numFmtId="37" fontId="39" fillId="24" borderId="60" xfId="0" applyNumberFormat="1" applyFont="1" applyFill="1" applyBorder="1" applyAlignment="1">
      <alignment vertical="center"/>
    </xf>
    <xf numFmtId="37" fontId="39" fillId="24" borderId="57" xfId="0" applyNumberFormat="1" applyFont="1" applyFill="1" applyBorder="1" applyAlignment="1">
      <alignment vertical="center"/>
    </xf>
    <xf numFmtId="0" fontId="45" fillId="0" borderId="27" xfId="0" applyFont="1" applyBorder="1" applyAlignment="1">
      <alignment horizontal="center" vertical="center"/>
    </xf>
    <xf numFmtId="37" fontId="51" fillId="0" borderId="30" xfId="0" applyNumberFormat="1" applyFont="1" applyBorder="1" applyAlignment="1">
      <alignment horizontal="left" vertical="center"/>
    </xf>
    <xf numFmtId="37" fontId="39" fillId="29" borderId="61" xfId="0" applyNumberFormat="1" applyFont="1" applyFill="1" applyBorder="1" applyAlignment="1">
      <alignment vertical="center"/>
    </xf>
    <xf numFmtId="37" fontId="39" fillId="22" borderId="62" xfId="0" applyNumberFormat="1" applyFont="1" applyFill="1" applyBorder="1" applyAlignment="1">
      <alignment vertical="center"/>
    </xf>
    <xf numFmtId="37" fontId="39" fillId="30" borderId="62" xfId="0" applyNumberFormat="1" applyFont="1" applyFill="1" applyBorder="1" applyAlignment="1">
      <alignment vertical="center"/>
    </xf>
    <xf numFmtId="37" fontId="39" fillId="24" borderId="29" xfId="0" applyNumberFormat="1" applyFont="1" applyFill="1" applyBorder="1" applyAlignment="1">
      <alignment vertical="center"/>
    </xf>
    <xf numFmtId="37" fontId="39" fillId="23" borderId="61" xfId="0" applyNumberFormat="1" applyFont="1" applyFill="1" applyBorder="1" applyAlignment="1">
      <alignment vertical="center"/>
    </xf>
    <xf numFmtId="37" fontId="39" fillId="24" borderId="63" xfId="0" applyNumberFormat="1" applyFont="1" applyFill="1" applyBorder="1" applyAlignment="1">
      <alignment vertical="center"/>
    </xf>
    <xf numFmtId="37" fontId="39" fillId="24" borderId="62" xfId="0" applyNumberFormat="1" applyFont="1" applyFill="1" applyBorder="1" applyAlignment="1">
      <alignment vertical="center"/>
    </xf>
    <xf numFmtId="0" fontId="45" fillId="0" borderId="19" xfId="0" applyFont="1" applyBorder="1" applyAlignment="1">
      <alignment horizontal="center" vertical="center"/>
    </xf>
    <xf numFmtId="37" fontId="51" fillId="0" borderId="24" xfId="0" applyNumberFormat="1" applyFont="1" applyBorder="1" applyAlignment="1">
      <alignment horizontal="left" vertical="center"/>
    </xf>
    <xf numFmtId="37" fontId="39" fillId="29" borderId="47" xfId="0" applyNumberFormat="1" applyFont="1" applyFill="1" applyBorder="1" applyAlignment="1">
      <alignment vertical="center"/>
    </xf>
    <xf numFmtId="37" fontId="39" fillId="22" borderId="50" xfId="0" applyNumberFormat="1" applyFont="1" applyFill="1" applyBorder="1" applyAlignment="1">
      <alignment vertical="center"/>
    </xf>
    <xf numFmtId="37" fontId="39" fillId="30" borderId="50" xfId="0" applyNumberFormat="1" applyFont="1" applyFill="1" applyBorder="1" applyAlignment="1">
      <alignment vertical="center"/>
    </xf>
    <xf numFmtId="37" fontId="39" fillId="24" borderId="21" xfId="0" applyNumberFormat="1" applyFont="1" applyFill="1" applyBorder="1" applyAlignment="1">
      <alignment vertical="center"/>
    </xf>
    <xf numFmtId="37" fontId="39" fillId="23" borderId="47" xfId="0" applyNumberFormat="1" applyFont="1" applyFill="1" applyBorder="1" applyAlignment="1">
      <alignment vertical="center"/>
    </xf>
    <xf numFmtId="37" fontId="39" fillId="24" borderId="64" xfId="0" applyNumberFormat="1" applyFont="1" applyFill="1" applyBorder="1" applyAlignment="1">
      <alignment vertical="center"/>
    </xf>
    <xf numFmtId="37" fontId="39" fillId="24" borderId="50" xfId="0" applyNumberFormat="1" applyFont="1" applyFill="1" applyBorder="1" applyAlignment="1">
      <alignment vertical="center"/>
    </xf>
    <xf numFmtId="0" fontId="47" fillId="0" borderId="52" xfId="0" applyFont="1" applyBorder="1" applyAlignment="1">
      <alignment horizontal="center" vertical="center" wrapText="1"/>
    </xf>
    <xf numFmtId="37" fontId="47" fillId="0" borderId="53" xfId="0" applyNumberFormat="1" applyFont="1" applyBorder="1" applyAlignment="1">
      <alignment horizontal="left" vertical="center"/>
    </xf>
    <xf numFmtId="37" fontId="47" fillId="29" borderId="39" xfId="0" applyNumberFormat="1" applyFont="1" applyFill="1" applyBorder="1" applyAlignment="1">
      <alignment vertical="center"/>
    </xf>
    <xf numFmtId="37" fontId="47" fillId="22" borderId="7" xfId="0" applyNumberFormat="1" applyFont="1" applyFill="1" applyBorder="1" applyAlignment="1">
      <alignment vertical="center"/>
    </xf>
    <xf numFmtId="37" fontId="47" fillId="30" borderId="7" xfId="0" applyNumberFormat="1" applyFont="1" applyFill="1" applyBorder="1" applyAlignment="1">
      <alignment vertical="center"/>
    </xf>
    <xf numFmtId="37" fontId="47" fillId="24" borderId="52" xfId="0" applyNumberFormat="1" applyFont="1" applyFill="1" applyBorder="1" applyAlignment="1">
      <alignment vertical="center"/>
    </xf>
    <xf numFmtId="37" fontId="47" fillId="24" borderId="53" xfId="0" applyNumberFormat="1" applyFont="1" applyFill="1" applyBorder="1" applyAlignment="1">
      <alignment vertical="center"/>
    </xf>
    <xf numFmtId="37" fontId="47" fillId="24" borderId="8" xfId="0" applyNumberFormat="1" applyFont="1" applyFill="1" applyBorder="1" applyAlignment="1">
      <alignment vertical="center"/>
    </xf>
    <xf numFmtId="37" fontId="47" fillId="23" borderId="39" xfId="0" applyNumberFormat="1" applyFont="1" applyFill="1" applyBorder="1" applyAlignment="1">
      <alignment vertical="center"/>
    </xf>
    <xf numFmtId="37" fontId="47" fillId="24" borderId="40" xfId="0" applyNumberFormat="1" applyFont="1" applyFill="1" applyBorder="1" applyAlignment="1">
      <alignment vertical="center"/>
    </xf>
    <xf numFmtId="37" fontId="47" fillId="24" borderId="9" xfId="0" applyNumberFormat="1" applyFont="1" applyFill="1" applyBorder="1" applyAlignment="1">
      <alignment vertical="center"/>
    </xf>
    <xf numFmtId="37" fontId="47" fillId="24" borderId="7" xfId="0" applyNumberFormat="1" applyFont="1" applyFill="1" applyBorder="1" applyAlignment="1">
      <alignment vertical="center"/>
    </xf>
    <xf numFmtId="0" fontId="52" fillId="0" borderId="0" xfId="0" applyFont="1" applyAlignment="1">
      <alignment vertical="center"/>
    </xf>
    <xf numFmtId="0" fontId="45" fillId="28" borderId="39" xfId="0" applyFont="1" applyFill="1" applyBorder="1" applyAlignment="1">
      <alignment horizontal="center" vertical="center" wrapText="1"/>
    </xf>
    <xf numFmtId="37" fontId="39" fillId="28" borderId="56" xfId="0" applyNumberFormat="1" applyFont="1" applyFill="1" applyBorder="1" applyAlignment="1">
      <alignment vertical="center"/>
    </xf>
    <xf numFmtId="37" fontId="39" fillId="28" borderId="61" xfId="0" applyNumberFormat="1" applyFont="1" applyFill="1" applyBorder="1" applyAlignment="1">
      <alignment vertical="center"/>
    </xf>
    <xf numFmtId="37" fontId="39" fillId="28" borderId="47" xfId="0" applyNumberFormat="1" applyFont="1" applyFill="1" applyBorder="1" applyAlignment="1">
      <alignment vertical="center"/>
    </xf>
    <xf numFmtId="37" fontId="47" fillId="28" borderId="39" xfId="0" applyNumberFormat="1" applyFont="1" applyFill="1" applyBorder="1" applyAlignment="1">
      <alignment vertical="center"/>
    </xf>
    <xf numFmtId="37" fontId="11" fillId="0" borderId="0" xfId="0" applyNumberFormat="1" applyFont="1"/>
    <xf numFmtId="37" fontId="10" fillId="0" borderId="0" xfId="1" applyNumberFormat="1" applyFont="1"/>
    <xf numFmtId="37" fontId="11" fillId="0" borderId="0" xfId="1" applyNumberFormat="1" applyFont="1" applyBorder="1"/>
    <xf numFmtId="37" fontId="10" fillId="0" borderId="0" xfId="1" applyNumberFormat="1" applyFont="1" applyBorder="1"/>
    <xf numFmtId="37" fontId="10" fillId="0" borderId="0" xfId="0" applyNumberFormat="1" applyFont="1"/>
    <xf numFmtId="37" fontId="0" fillId="0" borderId="0" xfId="0" applyNumberFormat="1"/>
    <xf numFmtId="37" fontId="11" fillId="0" borderId="0" xfId="0" applyNumberFormat="1" applyFont="1" applyAlignment="1">
      <alignment horizontal="right"/>
    </xf>
    <xf numFmtId="37" fontId="15" fillId="0" borderId="0" xfId="0" applyNumberFormat="1" applyFont="1"/>
    <xf numFmtId="37" fontId="11" fillId="8" borderId="0" xfId="1" applyNumberFormat="1" applyFont="1" applyFill="1"/>
    <xf numFmtId="37" fontId="5" fillId="11" borderId="0" xfId="0" applyNumberFormat="1" applyFont="1" applyFill="1" applyAlignment="1">
      <alignment horizontal="center" vertical="top" wrapText="1"/>
    </xf>
    <xf numFmtId="37" fontId="29" fillId="11" borderId="0" xfId="0" applyNumberFormat="1" applyFont="1" applyFill="1" applyAlignment="1">
      <alignment horizontal="center" vertical="top" wrapText="1"/>
    </xf>
    <xf numFmtId="37" fontId="6" fillId="11" borderId="0" xfId="0" applyNumberFormat="1" applyFont="1" applyFill="1" applyAlignment="1">
      <alignment horizontal="right"/>
    </xf>
    <xf numFmtId="37" fontId="5" fillId="11" borderId="0" xfId="0" applyNumberFormat="1" applyFont="1" applyFill="1" applyAlignment="1">
      <alignment horizontal="center" vertical="center" wrapText="1"/>
    </xf>
    <xf numFmtId="37" fontId="12" fillId="0" borderId="0" xfId="0" applyNumberFormat="1" applyFont="1"/>
    <xf numFmtId="37" fontId="20" fillId="0" borderId="0" xfId="0" applyNumberFormat="1" applyFont="1" applyAlignment="1">
      <alignment horizontal="right"/>
    </xf>
    <xf numFmtId="3" fontId="11" fillId="6" borderId="0" xfId="0" applyNumberFormat="1" applyFont="1" applyFill="1" applyAlignment="1">
      <alignment horizontal="center"/>
    </xf>
    <xf numFmtId="3" fontId="11" fillId="3" borderId="0" xfId="0" applyNumberFormat="1" applyFont="1" applyFill="1" applyAlignment="1">
      <alignment horizontal="center"/>
    </xf>
    <xf numFmtId="3" fontId="11" fillId="5" borderId="0" xfId="0" applyNumberFormat="1" applyFont="1" applyFill="1" applyAlignment="1">
      <alignment horizontal="center"/>
    </xf>
    <xf numFmtId="3" fontId="11" fillId="9" borderId="0" xfId="0" applyNumberFormat="1" applyFont="1" applyFill="1" applyAlignment="1">
      <alignment horizontal="center"/>
    </xf>
    <xf numFmtId="3" fontId="11" fillId="4" borderId="0" xfId="0" applyNumberFormat="1" applyFont="1" applyFill="1" applyAlignment="1">
      <alignment horizontal="center"/>
    </xf>
    <xf numFmtId="3" fontId="11" fillId="10" borderId="0" xfId="0" applyNumberFormat="1" applyFont="1" applyFill="1" applyAlignment="1">
      <alignment horizontal="center"/>
    </xf>
    <xf numFmtId="3" fontId="11" fillId="14" borderId="0" xfId="0" applyNumberFormat="1" applyFont="1" applyFill="1" applyAlignment="1">
      <alignment horizontal="center"/>
    </xf>
    <xf numFmtId="9" fontId="45" fillId="0" borderId="8" xfId="9" applyFont="1" applyBorder="1" applyAlignment="1">
      <alignment horizontal="center" vertical="center" wrapText="1"/>
    </xf>
    <xf numFmtId="0" fontId="43" fillId="0" borderId="8" xfId="0" applyFont="1" applyBorder="1" applyAlignment="1">
      <alignment vertical="center"/>
    </xf>
    <xf numFmtId="3" fontId="43" fillId="10" borderId="53" xfId="0" applyNumberFormat="1" applyFont="1" applyFill="1" applyBorder="1" applyAlignment="1">
      <alignment vertical="center"/>
    </xf>
    <xf numFmtId="38" fontId="45" fillId="0" borderId="8" xfId="9" applyNumberFormat="1" applyFont="1" applyBorder="1" applyAlignment="1">
      <alignment horizontal="center" vertical="center" wrapText="1"/>
    </xf>
    <xf numFmtId="38" fontId="43" fillId="0" borderId="8" xfId="0" applyNumberFormat="1" applyFont="1" applyBorder="1" applyAlignment="1">
      <alignment vertical="center"/>
    </xf>
    <xf numFmtId="37" fontId="39" fillId="9" borderId="53" xfId="9" applyNumberFormat="1" applyFont="1" applyFill="1" applyBorder="1" applyAlignment="1">
      <alignment horizontal="right" vertical="center"/>
    </xf>
    <xf numFmtId="37" fontId="39" fillId="6" borderId="52" xfId="9" applyNumberFormat="1" applyFont="1" applyFill="1" applyBorder="1" applyAlignment="1">
      <alignment horizontal="right" vertical="center"/>
    </xf>
    <xf numFmtId="37" fontId="39" fillId="3" borderId="53" xfId="9" applyNumberFormat="1" applyFont="1" applyFill="1" applyBorder="1" applyAlignment="1">
      <alignment horizontal="right" vertical="center"/>
    </xf>
    <xf numFmtId="37" fontId="39" fillId="27" borderId="53" xfId="9" applyNumberFormat="1" applyFont="1" applyFill="1" applyBorder="1" applyAlignment="1">
      <alignment horizontal="right" vertical="center"/>
    </xf>
    <xf numFmtId="37" fontId="39" fillId="5" borderId="53" xfId="9" applyNumberFormat="1" applyFont="1" applyFill="1" applyBorder="1" applyAlignment="1">
      <alignment horizontal="right" vertical="center"/>
    </xf>
    <xf numFmtId="37" fontId="45" fillId="14" borderId="9" xfId="9" applyNumberFormat="1" applyFont="1" applyFill="1" applyBorder="1" applyAlignment="1">
      <alignment horizontal="right" vertical="center"/>
    </xf>
    <xf numFmtId="0" fontId="5" fillId="11" borderId="43" xfId="0" applyFont="1" applyFill="1" applyBorder="1" applyAlignment="1">
      <alignment horizontal="center" vertical="top" wrapText="1"/>
    </xf>
    <xf numFmtId="0" fontId="29" fillId="11" borderId="43" xfId="0" applyFont="1" applyFill="1" applyBorder="1" applyAlignment="1">
      <alignment horizontal="center" vertical="top" wrapText="1"/>
    </xf>
    <xf numFmtId="0" fontId="6" fillId="11" borderId="43" xfId="0" applyFont="1" applyFill="1" applyBorder="1" applyAlignment="1">
      <alignment horizontal="right"/>
    </xf>
    <xf numFmtId="3" fontId="11" fillId="6" borderId="43" xfId="0" applyNumberFormat="1" applyFont="1" applyFill="1" applyBorder="1"/>
    <xf numFmtId="3" fontId="11" fillId="0" borderId="43" xfId="0" applyNumberFormat="1" applyFont="1" applyBorder="1"/>
    <xf numFmtId="164" fontId="10" fillId="0" borderId="43" xfId="1" applyNumberFormat="1" applyFont="1" applyBorder="1" applyAlignment="1">
      <alignment horizontal="right"/>
    </xf>
    <xf numFmtId="164" fontId="10" fillId="0" borderId="43" xfId="1" applyNumberFormat="1" applyFont="1" applyBorder="1"/>
    <xf numFmtId="164" fontId="11" fillId="0" borderId="43" xfId="1" applyNumberFormat="1" applyFont="1" applyBorder="1"/>
    <xf numFmtId="0" fontId="10" fillId="0" borderId="43" xfId="0" applyFont="1" applyBorder="1"/>
    <xf numFmtId="3" fontId="11" fillId="3" borderId="43" xfId="0" applyNumberFormat="1" applyFont="1" applyFill="1" applyBorder="1"/>
    <xf numFmtId="0" fontId="0" fillId="0" borderId="43" xfId="0" applyBorder="1"/>
    <xf numFmtId="3" fontId="10" fillId="0" borderId="43" xfId="0" applyNumberFormat="1" applyFont="1" applyBorder="1"/>
    <xf numFmtId="0" fontId="11" fillId="0" borderId="43" xfId="0" applyFont="1" applyBorder="1" applyAlignment="1">
      <alignment horizontal="right"/>
    </xf>
    <xf numFmtId="3" fontId="15" fillId="0" borderId="43" xfId="0" applyNumberFormat="1" applyFont="1" applyBorder="1"/>
    <xf numFmtId="164" fontId="11" fillId="8" borderId="43" xfId="1" applyNumberFormat="1" applyFont="1" applyFill="1" applyBorder="1"/>
    <xf numFmtId="3" fontId="11" fillId="5" borderId="43" xfId="0" applyNumberFormat="1" applyFont="1" applyFill="1" applyBorder="1"/>
    <xf numFmtId="3" fontId="11" fillId="9" borderId="43" xfId="0" applyNumberFormat="1" applyFont="1" applyFill="1" applyBorder="1"/>
    <xf numFmtId="3" fontId="11" fillId="4" borderId="43" xfId="0" applyNumberFormat="1" applyFont="1" applyFill="1" applyBorder="1"/>
    <xf numFmtId="3" fontId="11" fillId="10" borderId="43" xfId="0" applyNumberFormat="1" applyFont="1" applyFill="1" applyBorder="1"/>
    <xf numFmtId="3" fontId="11" fillId="14" borderId="43" xfId="0" applyNumberFormat="1" applyFont="1" applyFill="1" applyBorder="1"/>
    <xf numFmtId="0" fontId="5" fillId="11" borderId="43" xfId="0" applyFont="1" applyFill="1" applyBorder="1" applyAlignment="1">
      <alignment horizontal="center" vertical="center" wrapText="1"/>
    </xf>
    <xf numFmtId="164" fontId="11" fillId="0" borderId="43" xfId="0" applyNumberFormat="1" applyFont="1" applyBorder="1"/>
    <xf numFmtId="164" fontId="10" fillId="0" borderId="43" xfId="0" applyNumberFormat="1" applyFont="1" applyBorder="1"/>
    <xf numFmtId="164" fontId="12" fillId="0" borderId="43" xfId="0" applyNumberFormat="1" applyFont="1" applyBorder="1"/>
    <xf numFmtId="164" fontId="20" fillId="0" borderId="43" xfId="0" applyNumberFormat="1" applyFont="1" applyBorder="1" applyAlignment="1">
      <alignment horizontal="right"/>
    </xf>
    <xf numFmtId="39" fontId="3" fillId="2" borderId="0" xfId="0" applyNumberFormat="1" applyFont="1" applyFill="1" applyAlignment="1">
      <alignment horizontal="center" wrapText="1"/>
    </xf>
    <xf numFmtId="39" fontId="5" fillId="11" borderId="0" xfId="0" applyNumberFormat="1" applyFont="1" applyFill="1" applyAlignment="1">
      <alignment horizontal="center" vertical="top" wrapText="1"/>
    </xf>
    <xf numFmtId="39" fontId="29" fillId="11" borderId="0" xfId="0" applyNumberFormat="1" applyFont="1" applyFill="1" applyAlignment="1">
      <alignment horizontal="center" vertical="top" wrapText="1"/>
    </xf>
    <xf numFmtId="39" fontId="11" fillId="6" borderId="0" xfId="0" applyNumberFormat="1" applyFont="1" applyFill="1"/>
    <xf numFmtId="39" fontId="10" fillId="0" borderId="0" xfId="1" applyNumberFormat="1" applyFont="1" applyAlignment="1">
      <alignment horizontal="right"/>
    </xf>
    <xf numFmtId="39" fontId="10" fillId="0" borderId="0" xfId="1" applyNumberFormat="1" applyFont="1"/>
    <xf numFmtId="39" fontId="10" fillId="0" borderId="0" xfId="1" applyNumberFormat="1" applyFont="1" applyBorder="1"/>
    <xf numFmtId="39" fontId="10" fillId="0" borderId="0" xfId="0" applyNumberFormat="1" applyFont="1"/>
    <xf numFmtId="39" fontId="11" fillId="3" borderId="0" xfId="0" applyNumberFormat="1" applyFont="1" applyFill="1"/>
    <xf numFmtId="39" fontId="11" fillId="0" borderId="0" xfId="0" applyNumberFormat="1" applyFont="1"/>
    <xf numFmtId="39" fontId="0" fillId="0" borderId="0" xfId="0" applyNumberFormat="1"/>
    <xf numFmtId="39" fontId="11" fillId="0" borderId="0" xfId="0" applyNumberFormat="1" applyFont="1" applyAlignment="1">
      <alignment horizontal="right"/>
    </xf>
    <xf numFmtId="39" fontId="15" fillId="0" borderId="0" xfId="0" applyNumberFormat="1" applyFont="1"/>
    <xf numFmtId="39" fontId="11" fillId="8" borderId="0" xfId="1" applyNumberFormat="1" applyFont="1" applyFill="1"/>
    <xf numFmtId="39" fontId="11" fillId="5" borderId="0" xfId="0" applyNumberFormat="1" applyFont="1" applyFill="1"/>
    <xf numFmtId="39" fontId="11" fillId="9" borderId="0" xfId="0" applyNumberFormat="1" applyFont="1" applyFill="1"/>
    <xf numFmtId="39" fontId="11" fillId="4" borderId="0" xfId="0" applyNumberFormat="1" applyFont="1" applyFill="1"/>
    <xf numFmtId="39" fontId="11" fillId="10" borderId="0" xfId="0" applyNumberFormat="1" applyFont="1" applyFill="1"/>
    <xf numFmtId="39" fontId="11" fillId="14" borderId="0" xfId="0" applyNumberFormat="1" applyFont="1" applyFill="1"/>
    <xf numFmtId="39" fontId="5" fillId="11" borderId="0" xfId="0" applyNumberFormat="1" applyFont="1" applyFill="1" applyAlignment="1">
      <alignment horizontal="center" vertical="center" wrapText="1"/>
    </xf>
    <xf numFmtId="39" fontId="12" fillId="0" borderId="0" xfId="0" applyNumberFormat="1" applyFont="1"/>
    <xf numFmtId="39" fontId="20" fillId="0" borderId="0" xfId="0" applyNumberFormat="1" applyFont="1" applyAlignment="1">
      <alignment horizontal="right"/>
    </xf>
    <xf numFmtId="39" fontId="10" fillId="0" borderId="1" xfId="0" applyNumberFormat="1" applyFont="1" applyBorder="1"/>
    <xf numFmtId="0" fontId="29" fillId="32" borderId="0" xfId="0" applyFont="1" applyFill="1" applyAlignment="1">
      <alignment horizontal="center" vertical="top" wrapText="1"/>
    </xf>
    <xf numFmtId="39" fontId="11" fillId="0" borderId="1" xfId="1" applyNumberFormat="1" applyFont="1" applyBorder="1"/>
    <xf numFmtId="39" fontId="11" fillId="0" borderId="1" xfId="0" applyNumberFormat="1" applyFont="1" applyBorder="1"/>
    <xf numFmtId="0" fontId="5" fillId="0" borderId="0" xfId="0" applyFont="1" applyAlignment="1">
      <alignment horizontal="center" vertical="top" wrapText="1"/>
    </xf>
    <xf numFmtId="0" fontId="29" fillId="0" borderId="0" xfId="0" applyFont="1" applyAlignment="1">
      <alignment horizontal="center" vertical="top" wrapText="1"/>
    </xf>
    <xf numFmtId="164" fontId="10" fillId="0" borderId="0" xfId="1" applyNumberFormat="1" applyFont="1" applyFill="1" applyAlignment="1">
      <alignment horizontal="right"/>
    </xf>
    <xf numFmtId="164" fontId="10" fillId="0" borderId="0" xfId="1" applyNumberFormat="1" applyFont="1" applyFill="1"/>
    <xf numFmtId="164" fontId="11" fillId="0" borderId="0" xfId="1" applyNumberFormat="1" applyFont="1" applyFill="1"/>
    <xf numFmtId="0" fontId="5" fillId="0" borderId="0" xfId="0" applyFont="1" applyAlignment="1">
      <alignment horizontal="center" vertical="center" wrapText="1"/>
    </xf>
    <xf numFmtId="164" fontId="11" fillId="8" borderId="0" xfId="1" applyNumberFormat="1" applyFont="1" applyFill="1" applyBorder="1"/>
    <xf numFmtId="37" fontId="45" fillId="27" borderId="53" xfId="9" applyNumberFormat="1" applyFont="1" applyFill="1" applyBorder="1" applyAlignment="1">
      <alignment horizontal="right" vertical="center"/>
    </xf>
    <xf numFmtId="37" fontId="45" fillId="3" borderId="53" xfId="9" applyNumberFormat="1" applyFont="1" applyFill="1" applyBorder="1" applyAlignment="1">
      <alignment horizontal="right" vertical="center"/>
    </xf>
    <xf numFmtId="37" fontId="45" fillId="6" borderId="52" xfId="9" applyNumberFormat="1" applyFont="1" applyFill="1" applyBorder="1" applyAlignment="1">
      <alignment horizontal="right" vertical="center"/>
    </xf>
    <xf numFmtId="37" fontId="45" fillId="5" borderId="53" xfId="9" applyNumberFormat="1" applyFont="1" applyFill="1" applyBorder="1" applyAlignment="1">
      <alignment horizontal="right" vertical="center"/>
    </xf>
    <xf numFmtId="37" fontId="48" fillId="10" borderId="53" xfId="0" applyNumberFormat="1" applyFont="1" applyFill="1" applyBorder="1" applyAlignment="1">
      <alignment vertical="center"/>
    </xf>
    <xf numFmtId="37" fontId="48" fillId="9" borderId="53" xfId="0" applyNumberFormat="1" applyFont="1" applyFill="1" applyBorder="1" applyAlignment="1">
      <alignment vertical="center"/>
    </xf>
    <xf numFmtId="164" fontId="10" fillId="33" borderId="0" xfId="1" applyNumberFormat="1" applyFont="1" applyFill="1" applyAlignment="1">
      <alignment horizontal="right"/>
    </xf>
    <xf numFmtId="164" fontId="10" fillId="33" borderId="0" xfId="1" applyNumberFormat="1" applyFont="1" applyFill="1" applyAlignment="1">
      <alignment horizontal="center"/>
    </xf>
    <xf numFmtId="37" fontId="10" fillId="33" borderId="0" xfId="0" applyNumberFormat="1" applyFont="1" applyFill="1"/>
    <xf numFmtId="164" fontId="10" fillId="33" borderId="0" xfId="1" applyNumberFormat="1" applyFont="1" applyFill="1"/>
    <xf numFmtId="164" fontId="10" fillId="33" borderId="0" xfId="1" applyNumberFormat="1" applyFont="1" applyFill="1" applyBorder="1"/>
    <xf numFmtId="164" fontId="10" fillId="33" borderId="0" xfId="1" applyNumberFormat="1" applyFont="1" applyFill="1" applyBorder="1" applyAlignment="1">
      <alignment horizontal="center"/>
    </xf>
    <xf numFmtId="3" fontId="10" fillId="33" borderId="0" xfId="0" applyNumberFormat="1" applyFont="1" applyFill="1"/>
    <xf numFmtId="3" fontId="10" fillId="33" borderId="0" xfId="0" applyNumberFormat="1" applyFont="1" applyFill="1" applyAlignment="1">
      <alignment horizontal="center"/>
    </xf>
    <xf numFmtId="3" fontId="11" fillId="33" borderId="0" xfId="0" applyNumberFormat="1" applyFont="1" applyFill="1"/>
    <xf numFmtId="3" fontId="11" fillId="33" borderId="1" xfId="0" applyNumberFormat="1" applyFont="1" applyFill="1" applyBorder="1"/>
    <xf numFmtId="3" fontId="11" fillId="33" borderId="0" xfId="0" applyNumberFormat="1" applyFont="1" applyFill="1" applyAlignment="1">
      <alignment horizontal="center"/>
    </xf>
    <xf numFmtId="37" fontId="11" fillId="33" borderId="0" xfId="0" applyNumberFormat="1" applyFont="1" applyFill="1"/>
    <xf numFmtId="0" fontId="0" fillId="33" borderId="0" xfId="0" applyFill="1"/>
    <xf numFmtId="37" fontId="45" fillId="0" borderId="9" xfId="0" applyNumberFormat="1" applyFont="1" applyBorder="1" applyAlignment="1">
      <alignment horizontal="right" vertical="center"/>
    </xf>
    <xf numFmtId="9" fontId="45" fillId="0" borderId="39" xfId="9" applyFont="1" applyBorder="1" applyAlignment="1">
      <alignment horizontal="right" vertical="center"/>
    </xf>
    <xf numFmtId="38" fontId="45" fillId="0" borderId="39" xfId="9" applyNumberFormat="1" applyFont="1" applyBorder="1" applyAlignment="1">
      <alignment horizontal="right" vertical="center"/>
    </xf>
    <xf numFmtId="37" fontId="45" fillId="0" borderId="7" xfId="0" applyNumberFormat="1" applyFont="1" applyBorder="1" applyAlignment="1">
      <alignment vertical="center"/>
    </xf>
    <xf numFmtId="37" fontId="45" fillId="0" borderId="8" xfId="0" applyNumberFormat="1" applyFont="1" applyBorder="1" applyAlignment="1">
      <alignment vertical="center"/>
    </xf>
    <xf numFmtId="37" fontId="39" fillId="6" borderId="7" xfId="0" applyNumberFormat="1" applyFont="1" applyFill="1" applyBorder="1" applyAlignment="1">
      <alignment vertical="center"/>
    </xf>
    <xf numFmtId="37" fontId="39" fillId="3" borderId="40" xfId="0" applyNumberFormat="1" applyFont="1" applyFill="1" applyBorder="1" applyAlignment="1">
      <alignment vertical="center"/>
    </xf>
    <xf numFmtId="37" fontId="39" fillId="4" borderId="40" xfId="0" applyNumberFormat="1" applyFont="1" applyFill="1" applyBorder="1" applyAlignment="1">
      <alignment vertical="center"/>
    </xf>
    <xf numFmtId="37" fontId="39" fillId="5" borderId="40" xfId="0" applyNumberFormat="1" applyFont="1" applyFill="1" applyBorder="1" applyAlignment="1">
      <alignment vertical="center"/>
    </xf>
    <xf numFmtId="37" fontId="39" fillId="10" borderId="40" xfId="0" applyNumberFormat="1" applyFont="1" applyFill="1" applyBorder="1" applyAlignment="1">
      <alignment vertical="center"/>
    </xf>
    <xf numFmtId="37" fontId="39" fillId="9" borderId="40" xfId="0" applyNumberFormat="1" applyFont="1" applyFill="1" applyBorder="1" applyAlignment="1">
      <alignment vertical="center"/>
    </xf>
    <xf numFmtId="37" fontId="39" fillId="14" borderId="41" xfId="0" applyNumberFormat="1" applyFont="1" applyFill="1" applyBorder="1" applyAlignment="1">
      <alignment vertical="center"/>
    </xf>
    <xf numFmtId="37" fontId="39" fillId="14" borderId="9" xfId="9" applyNumberFormat="1" applyFont="1" applyFill="1" applyBorder="1" applyAlignment="1">
      <alignment horizontal="right" vertical="center"/>
    </xf>
    <xf numFmtId="0" fontId="48" fillId="0" borderId="9" xfId="0" applyFont="1" applyBorder="1" applyAlignment="1">
      <alignment vertical="center"/>
    </xf>
    <xf numFmtId="37" fontId="39" fillId="8" borderId="7" xfId="9" applyNumberFormat="1" applyFont="1" applyFill="1" applyBorder="1" applyAlignment="1">
      <alignment vertical="center"/>
    </xf>
    <xf numFmtId="37" fontId="45" fillId="8" borderId="7" xfId="9" applyNumberFormat="1" applyFont="1" applyFill="1" applyBorder="1" applyAlignment="1">
      <alignment horizontal="right" vertical="center"/>
    </xf>
    <xf numFmtId="165" fontId="45" fillId="0" borderId="57" xfId="0" applyNumberFormat="1" applyFont="1" applyBorder="1" applyAlignment="1">
      <alignment horizontal="center" vertical="center"/>
    </xf>
    <xf numFmtId="9" fontId="39" fillId="0" borderId="43" xfId="9" applyFont="1" applyBorder="1" applyAlignment="1">
      <alignment vertical="center"/>
    </xf>
    <xf numFmtId="9" fontId="39" fillId="0" borderId="7" xfId="9" applyFont="1" applyBorder="1" applyAlignment="1">
      <alignment vertical="center"/>
    </xf>
    <xf numFmtId="38" fontId="39" fillId="0" borderId="7" xfId="9" applyNumberFormat="1" applyFont="1" applyBorder="1" applyAlignment="1">
      <alignment vertical="center"/>
    </xf>
    <xf numFmtId="0" fontId="43" fillId="0" borderId="43" xfId="0" applyFont="1" applyBorder="1" applyAlignment="1">
      <alignment vertical="center"/>
    </xf>
    <xf numFmtId="9" fontId="39" fillId="0" borderId="43" xfId="9" applyFont="1" applyBorder="1" applyAlignment="1">
      <alignment horizontal="right" vertical="center"/>
    </xf>
    <xf numFmtId="37" fontId="53" fillId="28" borderId="34" xfId="0" applyNumberFormat="1" applyFont="1" applyFill="1" applyBorder="1" applyAlignment="1">
      <alignment vertical="center"/>
    </xf>
    <xf numFmtId="37" fontId="53" fillId="22" borderId="34" xfId="0" applyNumberFormat="1" applyFont="1" applyFill="1" applyBorder="1" applyAlignment="1">
      <alignment vertical="center"/>
    </xf>
    <xf numFmtId="0" fontId="39" fillId="0" borderId="67" xfId="0" applyFont="1" applyBorder="1" applyAlignment="1">
      <alignment horizontal="center" vertical="center" wrapText="1"/>
    </xf>
    <xf numFmtId="0" fontId="39" fillId="0" borderId="68" xfId="0" applyFont="1" applyBorder="1" applyAlignment="1">
      <alignment horizontal="left" vertical="center" wrapText="1"/>
    </xf>
    <xf numFmtId="37" fontId="53" fillId="29" borderId="34" xfId="0" applyNumberFormat="1" applyFont="1" applyFill="1" applyBorder="1" applyAlignment="1">
      <alignment vertical="center"/>
    </xf>
    <xf numFmtId="0" fontId="54" fillId="11" borderId="0" xfId="0" applyFont="1" applyFill="1" applyAlignment="1">
      <alignment horizontal="center" vertical="top" wrapText="1"/>
    </xf>
    <xf numFmtId="0" fontId="3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5" fillId="0" borderId="0" xfId="0" applyFont="1" applyAlignment="1">
      <alignment vertical="center"/>
    </xf>
    <xf numFmtId="0" fontId="48" fillId="0" borderId="0" xfId="0" applyFont="1"/>
    <xf numFmtId="0" fontId="48" fillId="0" borderId="0" xfId="0" applyFont="1" applyAlignment="1">
      <alignment horizontal="center"/>
    </xf>
    <xf numFmtId="0" fontId="48" fillId="0" borderId="0" xfId="0" applyFont="1" applyAlignment="1">
      <alignment horizontal="right"/>
    </xf>
    <xf numFmtId="0" fontId="56" fillId="0" borderId="1" xfId="0" applyFont="1" applyBorder="1"/>
    <xf numFmtId="0" fontId="48" fillId="0" borderId="1" xfId="0" applyFont="1" applyBorder="1" applyAlignment="1">
      <alignment horizontal="center"/>
    </xf>
    <xf numFmtId="0" fontId="48" fillId="0" borderId="1" xfId="0" applyFont="1" applyBorder="1" applyAlignment="1">
      <alignment horizontal="right"/>
    </xf>
    <xf numFmtId="0" fontId="39" fillId="0" borderId="0" xfId="0" applyFont="1" applyAlignment="1">
      <alignment horizontal="left" indent="2"/>
    </xf>
    <xf numFmtId="0" fontId="39" fillId="0" borderId="0" xfId="0" applyFont="1"/>
    <xf numFmtId="164" fontId="39" fillId="0" borderId="0" xfId="1" applyNumberFormat="1" applyFont="1"/>
    <xf numFmtId="164" fontId="57" fillId="0" borderId="0" xfId="0" applyNumberFormat="1" applyFont="1"/>
    <xf numFmtId="0" fontId="39" fillId="0" borderId="2" xfId="0" applyFont="1" applyBorder="1" applyAlignment="1">
      <alignment horizontal="center" vertical="center"/>
    </xf>
    <xf numFmtId="164" fontId="39" fillId="0" borderId="2" xfId="1" applyNumberFormat="1" applyFont="1" applyBorder="1" applyAlignment="1">
      <alignment vertical="center"/>
    </xf>
    <xf numFmtId="0" fontId="57" fillId="0" borderId="0" xfId="0" applyFont="1"/>
    <xf numFmtId="168" fontId="57" fillId="0" borderId="0" xfId="0" applyNumberFormat="1" applyFont="1"/>
    <xf numFmtId="0" fontId="58" fillId="0" borderId="0" xfId="0" applyFont="1"/>
    <xf numFmtId="0" fontId="58" fillId="0" borderId="0" xfId="0" quotePrefix="1" applyFont="1"/>
    <xf numFmtId="164" fontId="39" fillId="0" borderId="0" xfId="1" applyNumberFormat="1" applyFont="1" applyBorder="1"/>
    <xf numFmtId="43" fontId="57" fillId="0" borderId="0" xfId="0" applyNumberFormat="1" applyFont="1"/>
    <xf numFmtId="0" fontId="39" fillId="0" borderId="0" xfId="0" applyFont="1" applyAlignment="1">
      <alignment horizontal="center" vertical="center"/>
    </xf>
    <xf numFmtId="164" fontId="39" fillId="0" borderId="0" xfId="1" applyNumberFormat="1" applyFont="1" applyBorder="1" applyAlignment="1">
      <alignment vertical="center"/>
    </xf>
    <xf numFmtId="169" fontId="57" fillId="0" borderId="0" xfId="0" applyNumberFormat="1" applyFont="1"/>
    <xf numFmtId="0" fontId="39" fillId="0" borderId="1" xfId="0" applyFont="1" applyBorder="1" applyAlignment="1">
      <alignment horizontal="left" indent="2"/>
    </xf>
    <xf numFmtId="0" fontId="39" fillId="0" borderId="1" xfId="0" applyFont="1" applyBorder="1"/>
    <xf numFmtId="164" fontId="39" fillId="0" borderId="1" xfId="1" applyNumberFormat="1" applyFont="1" applyBorder="1"/>
    <xf numFmtId="43" fontId="57" fillId="0" borderId="1" xfId="0" applyNumberFormat="1" applyFont="1" applyBorder="1"/>
    <xf numFmtId="0" fontId="39" fillId="0" borderId="1" xfId="0" applyFont="1" applyBorder="1" applyAlignment="1">
      <alignment horizontal="center" vertical="center"/>
    </xf>
    <xf numFmtId="164" fontId="39" fillId="0" borderId="1" xfId="1" applyNumberFormat="1" applyFont="1" applyBorder="1" applyAlignment="1">
      <alignment vertical="center"/>
    </xf>
    <xf numFmtId="168" fontId="57" fillId="0" borderId="1" xfId="0" applyNumberFormat="1" applyFont="1" applyBorder="1"/>
    <xf numFmtId="0" fontId="45" fillId="0" borderId="0" xfId="0" applyFont="1"/>
    <xf numFmtId="164" fontId="45" fillId="0" borderId="0" xfId="0" applyNumberFormat="1" applyFont="1"/>
    <xf numFmtId="164" fontId="45" fillId="0" borderId="0" xfId="1" applyNumberFormat="1" applyFont="1" applyBorder="1"/>
    <xf numFmtId="0" fontId="48" fillId="0" borderId="0" xfId="0" applyFont="1" applyAlignment="1">
      <alignment horizontal="left" vertical="center"/>
    </xf>
    <xf numFmtId="164" fontId="45" fillId="0" borderId="2" xfId="1" applyNumberFormat="1" applyFont="1" applyBorder="1" applyAlignment="1">
      <alignment vertical="center"/>
    </xf>
    <xf numFmtId="0" fontId="58" fillId="0" borderId="0" xfId="0" applyFont="1" applyAlignment="1">
      <alignment horizontal="left" indent="2"/>
    </xf>
    <xf numFmtId="0" fontId="57" fillId="0" borderId="1" xfId="0" applyFont="1" applyBorder="1"/>
    <xf numFmtId="164" fontId="45" fillId="0" borderId="1" xfId="0" applyNumberFormat="1" applyFont="1" applyBorder="1"/>
    <xf numFmtId="0" fontId="45" fillId="34" borderId="0" xfId="0" applyFont="1" applyFill="1"/>
    <xf numFmtId="0" fontId="45" fillId="0" borderId="1" xfId="0" applyFont="1" applyBorder="1"/>
    <xf numFmtId="164" fontId="45" fillId="0" borderId="1" xfId="1" applyNumberFormat="1" applyFont="1" applyBorder="1"/>
    <xf numFmtId="171" fontId="57" fillId="0" borderId="0" xfId="0" applyNumberFormat="1" applyFont="1"/>
    <xf numFmtId="0" fontId="59" fillId="0" borderId="0" xfId="0" applyFont="1" applyAlignment="1">
      <alignment wrapText="1"/>
    </xf>
    <xf numFmtId="164" fontId="57" fillId="0" borderId="1" xfId="0" applyNumberFormat="1" applyFont="1" applyBorder="1"/>
    <xf numFmtId="171" fontId="57" fillId="0" borderId="1" xfId="0" applyNumberFormat="1" applyFont="1" applyBorder="1"/>
    <xf numFmtId="164" fontId="45" fillId="0" borderId="0" xfId="1" applyNumberFormat="1" applyFont="1" applyBorder="1" applyAlignment="1">
      <alignment vertical="center"/>
    </xf>
    <xf numFmtId="0" fontId="39" fillId="0" borderId="69" xfId="0" applyFont="1" applyBorder="1" applyAlignment="1">
      <alignment horizontal="left" indent="2"/>
    </xf>
    <xf numFmtId="164" fontId="45" fillId="0" borderId="69" xfId="0" applyNumberFormat="1" applyFont="1" applyBorder="1"/>
    <xf numFmtId="0" fontId="45" fillId="0" borderId="69" xfId="0" applyFont="1" applyBorder="1"/>
    <xf numFmtId="0" fontId="39" fillId="0" borderId="69" xfId="0" applyFont="1" applyBorder="1" applyAlignment="1">
      <alignment horizontal="center" vertical="center"/>
    </xf>
    <xf numFmtId="164" fontId="39" fillId="0" borderId="69" xfId="1" applyNumberFormat="1" applyFont="1" applyBorder="1" applyAlignment="1">
      <alignment vertical="center"/>
    </xf>
    <xf numFmtId="171" fontId="57" fillId="0" borderId="69" xfId="0" applyNumberFormat="1" applyFont="1" applyBorder="1"/>
    <xf numFmtId="164" fontId="60" fillId="0" borderId="0" xfId="0" applyNumberFormat="1" applyFont="1"/>
    <xf numFmtId="0" fontId="45" fillId="30" borderId="69" xfId="0" applyFont="1" applyFill="1" applyBorder="1"/>
    <xf numFmtId="164" fontId="45" fillId="30" borderId="69" xfId="0" applyNumberFormat="1" applyFont="1" applyFill="1" applyBorder="1"/>
    <xf numFmtId="170" fontId="57" fillId="0" borderId="0" xfId="0" applyNumberFormat="1" applyFont="1"/>
    <xf numFmtId="164" fontId="39" fillId="0" borderId="0" xfId="1" applyNumberFormat="1" applyFont="1" applyFill="1" applyBorder="1"/>
    <xf numFmtId="164" fontId="39" fillId="0" borderId="1" xfId="1" applyNumberFormat="1" applyFont="1" applyFill="1" applyBorder="1"/>
    <xf numFmtId="170" fontId="57" fillId="0" borderId="1" xfId="0" applyNumberFormat="1" applyFont="1" applyBorder="1"/>
    <xf numFmtId="0" fontId="58" fillId="0" borderId="45" xfId="0" applyFont="1" applyBorder="1" applyAlignment="1">
      <alignment horizontal="left" indent="2"/>
    </xf>
    <xf numFmtId="164" fontId="45" fillId="0" borderId="45" xfId="0" applyNumberFormat="1" applyFont="1" applyBorder="1"/>
    <xf numFmtId="0" fontId="45" fillId="0" borderId="45" xfId="0" applyFont="1" applyBorder="1"/>
    <xf numFmtId="164" fontId="45" fillId="0" borderId="45" xfId="1" applyNumberFormat="1" applyFont="1" applyBorder="1"/>
    <xf numFmtId="43" fontId="57" fillId="0" borderId="69" xfId="0" applyNumberFormat="1" applyFont="1" applyBorder="1"/>
    <xf numFmtId="169" fontId="57" fillId="0" borderId="69" xfId="0" applyNumberFormat="1" applyFont="1" applyBorder="1"/>
    <xf numFmtId="3" fontId="39" fillId="0" borderId="0" xfId="0" applyNumberFormat="1" applyFont="1"/>
    <xf numFmtId="0" fontId="34" fillId="0" borderId="0" xfId="0" applyFont="1" applyAlignment="1">
      <alignment horizontal="center" vertical="center"/>
    </xf>
    <xf numFmtId="0" fontId="45" fillId="31" borderId="0" xfId="0" applyFont="1" applyFill="1"/>
    <xf numFmtId="0" fontId="45" fillId="31" borderId="1" xfId="0" applyFont="1" applyFill="1" applyBorder="1"/>
    <xf numFmtId="170" fontId="57" fillId="0" borderId="2" xfId="0" applyNumberFormat="1" applyFont="1" applyBorder="1"/>
    <xf numFmtId="0" fontId="36" fillId="30" borderId="8" xfId="0" applyFont="1" applyFill="1" applyBorder="1" applyAlignment="1">
      <alignment vertical="center"/>
    </xf>
    <xf numFmtId="0" fontId="45" fillId="30" borderId="8" xfId="0" applyFont="1" applyFill="1" applyBorder="1" applyAlignment="1">
      <alignment horizontal="right" vertical="center"/>
    </xf>
    <xf numFmtId="0" fontId="39" fillId="0" borderId="0" xfId="0" applyFont="1" applyAlignment="1">
      <alignment horizontal="left" vertical="center"/>
    </xf>
    <xf numFmtId="0" fontId="36" fillId="30" borderId="45" xfId="0" applyFont="1" applyFill="1" applyBorder="1" applyAlignment="1">
      <alignment horizontal="left" vertical="center"/>
    </xf>
    <xf numFmtId="164" fontId="45" fillId="30" borderId="45" xfId="0" applyNumberFormat="1" applyFont="1" applyFill="1" applyBorder="1" applyAlignment="1">
      <alignment vertical="center"/>
    </xf>
    <xf numFmtId="0" fontId="45" fillId="30" borderId="45" xfId="0" applyFont="1" applyFill="1" applyBorder="1" applyAlignment="1">
      <alignment vertical="center"/>
    </xf>
    <xf numFmtId="164" fontId="35" fillId="30" borderId="45" xfId="1" applyNumberFormat="1" applyFont="1" applyFill="1" applyBorder="1" applyAlignment="1">
      <alignment vertical="center"/>
    </xf>
    <xf numFmtId="0" fontId="54" fillId="30" borderId="45" xfId="0" applyFont="1" applyFill="1" applyBorder="1" applyAlignment="1">
      <alignment horizontal="left" vertical="center"/>
    </xf>
    <xf numFmtId="164" fontId="54" fillId="30" borderId="45" xfId="0" applyNumberFormat="1" applyFont="1" applyFill="1" applyBorder="1" applyAlignment="1">
      <alignment vertical="center"/>
    </xf>
    <xf numFmtId="0" fontId="54" fillId="30" borderId="45" xfId="0" applyFont="1" applyFill="1" applyBorder="1" applyAlignment="1">
      <alignment vertical="center"/>
    </xf>
    <xf numFmtId="164" fontId="54" fillId="30" borderId="45" xfId="1" applyNumberFormat="1" applyFont="1" applyFill="1" applyBorder="1" applyAlignment="1">
      <alignment vertical="center"/>
    </xf>
    <xf numFmtId="164" fontId="61" fillId="30" borderId="45" xfId="0" applyNumberFormat="1" applyFont="1" applyFill="1" applyBorder="1" applyAlignment="1">
      <alignment vertical="center"/>
    </xf>
    <xf numFmtId="0" fontId="62" fillId="30" borderId="69" xfId="0" applyFont="1" applyFill="1" applyBorder="1"/>
    <xf numFmtId="164" fontId="62" fillId="30" borderId="69" xfId="0" applyNumberFormat="1" applyFont="1" applyFill="1" applyBorder="1"/>
    <xf numFmtId="164" fontId="62" fillId="30" borderId="69" xfId="1" applyNumberFormat="1" applyFont="1" applyFill="1" applyBorder="1"/>
    <xf numFmtId="0" fontId="63" fillId="0" borderId="0" xfId="0" applyFont="1" applyAlignment="1">
      <alignment horizontal="left" vertical="center"/>
    </xf>
    <xf numFmtId="164" fontId="64" fillId="30" borderId="69" xfId="0" applyNumberFormat="1" applyFont="1" applyFill="1" applyBorder="1"/>
    <xf numFmtId="0" fontId="64" fillId="30" borderId="69" xfId="0" applyFont="1" applyFill="1" applyBorder="1" applyAlignment="1">
      <alignment horizontal="center" vertical="center"/>
    </xf>
    <xf numFmtId="0" fontId="65" fillId="0" borderId="0" xfId="0" applyFont="1"/>
    <xf numFmtId="164" fontId="66" fillId="30" borderId="69" xfId="0" applyNumberFormat="1" applyFont="1" applyFill="1" applyBorder="1"/>
    <xf numFmtId="0" fontId="66" fillId="30" borderId="69" xfId="0" applyFont="1" applyFill="1" applyBorder="1"/>
    <xf numFmtId="164" fontId="65" fillId="30" borderId="69" xfId="0" applyNumberFormat="1" applyFont="1" applyFill="1" applyBorder="1"/>
    <xf numFmtId="0" fontId="65" fillId="30" borderId="69" xfId="0" applyFont="1" applyFill="1" applyBorder="1" applyAlignment="1">
      <alignment horizontal="center" vertical="center"/>
    </xf>
    <xf numFmtId="0" fontId="61" fillId="30" borderId="45" xfId="0" applyFont="1" applyFill="1" applyBorder="1" applyAlignment="1">
      <alignment vertical="center"/>
    </xf>
    <xf numFmtId="164" fontId="61" fillId="30" borderId="45" xfId="1" applyNumberFormat="1" applyFont="1" applyFill="1" applyBorder="1" applyAlignment="1">
      <alignment vertical="center"/>
    </xf>
    <xf numFmtId="0" fontId="67" fillId="30" borderId="69" xfId="0" applyFont="1" applyFill="1" applyBorder="1"/>
    <xf numFmtId="164" fontId="68" fillId="30" borderId="69" xfId="0" applyNumberFormat="1" applyFont="1" applyFill="1" applyBorder="1"/>
    <xf numFmtId="0" fontId="68" fillId="30" borderId="69" xfId="0" applyFont="1" applyFill="1" applyBorder="1"/>
    <xf numFmtId="0" fontId="69" fillId="0" borderId="0" xfId="0" applyFont="1" applyAlignment="1">
      <alignment horizontal="left" vertical="center"/>
    </xf>
    <xf numFmtId="164" fontId="70" fillId="30" borderId="69" xfId="0" applyNumberFormat="1" applyFont="1" applyFill="1" applyBorder="1"/>
    <xf numFmtId="0" fontId="70" fillId="30" borderId="69" xfId="0" applyFont="1" applyFill="1" applyBorder="1" applyAlignment="1">
      <alignment horizontal="center" vertical="center"/>
    </xf>
    <xf numFmtId="0" fontId="70" fillId="0" borderId="0" xfId="0" applyFont="1"/>
    <xf numFmtId="164" fontId="68" fillId="30" borderId="69" xfId="1" applyNumberFormat="1" applyFont="1" applyFill="1" applyBorder="1"/>
    <xf numFmtId="0" fontId="34" fillId="0" borderId="45" xfId="0" applyFont="1" applyBorder="1"/>
    <xf numFmtId="0" fontId="62" fillId="30" borderId="69" xfId="0" applyFont="1" applyFill="1" applyBorder="1" applyAlignment="1">
      <alignment horizontal="left" indent="1"/>
    </xf>
    <xf numFmtId="0" fontId="62" fillId="35" borderId="69" xfId="0" applyFont="1" applyFill="1" applyBorder="1" applyAlignment="1">
      <alignment horizontal="left" indent="1"/>
    </xf>
    <xf numFmtId="164" fontId="66" fillId="35" borderId="69" xfId="0" applyNumberFormat="1" applyFont="1" applyFill="1" applyBorder="1"/>
    <xf numFmtId="0" fontId="66" fillId="35" borderId="69" xfId="0" applyFont="1" applyFill="1" applyBorder="1"/>
    <xf numFmtId="164" fontId="62" fillId="35" borderId="69" xfId="1" applyNumberFormat="1" applyFont="1" applyFill="1" applyBorder="1"/>
    <xf numFmtId="164" fontId="65" fillId="35" borderId="69" xfId="0" applyNumberFormat="1" applyFont="1" applyFill="1" applyBorder="1"/>
    <xf numFmtId="0" fontId="65" fillId="35" borderId="69" xfId="0" applyFont="1" applyFill="1" applyBorder="1" applyAlignment="1">
      <alignment horizontal="center" vertical="center"/>
    </xf>
    <xf numFmtId="0" fontId="71" fillId="0" borderId="45" xfId="0" applyFont="1" applyBorder="1" applyAlignment="1">
      <alignment horizontal="left" vertical="center"/>
    </xf>
    <xf numFmtId="164" fontId="54" fillId="0" borderId="45" xfId="0" applyNumberFormat="1" applyFont="1" applyBorder="1" applyAlignment="1">
      <alignment vertical="center"/>
    </xf>
    <xf numFmtId="0" fontId="54" fillId="0" borderId="45" xfId="0" applyFont="1" applyBorder="1" applyAlignment="1">
      <alignment vertical="center"/>
    </xf>
    <xf numFmtId="164" fontId="54" fillId="0" borderId="45" xfId="1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wrapText="1"/>
    </xf>
    <xf numFmtId="0" fontId="13" fillId="0" borderId="0" xfId="0" applyFont="1" applyAlignment="1">
      <alignment horizontal="center" vertical="center"/>
    </xf>
    <xf numFmtId="14" fontId="41" fillId="0" borderId="0" xfId="0" applyNumberFormat="1" applyFont="1"/>
    <xf numFmtId="0" fontId="41" fillId="0" borderId="0" xfId="0" applyFont="1"/>
    <xf numFmtId="0" fontId="41" fillId="0" borderId="0" xfId="0" applyFont="1" applyAlignment="1">
      <alignment vertical="center"/>
    </xf>
    <xf numFmtId="3" fontId="10" fillId="0" borderId="0" xfId="0" applyNumberFormat="1" applyFont="1" applyAlignment="1">
      <alignment horizontal="left"/>
    </xf>
    <xf numFmtId="164" fontId="0" fillId="0" borderId="0" xfId="0" applyNumberFormat="1" applyAlignment="1">
      <alignment horizontal="center"/>
    </xf>
    <xf numFmtId="0" fontId="13" fillId="0" borderId="1" xfId="0" applyFont="1" applyBorder="1" applyAlignment="1">
      <alignment horizontal="center"/>
    </xf>
    <xf numFmtId="0" fontId="12" fillId="0" borderId="0" xfId="0" applyFont="1"/>
    <xf numFmtId="0" fontId="27" fillId="0" borderId="0" xfId="0" applyFont="1" applyAlignment="1">
      <alignment horizontal="center"/>
    </xf>
    <xf numFmtId="0" fontId="0" fillId="32" borderId="0" xfId="0" applyFill="1" applyAlignment="1">
      <alignment horizontal="center"/>
    </xf>
    <xf numFmtId="0" fontId="0" fillId="32" borderId="5" xfId="0" applyFill="1" applyBorder="1" applyAlignment="1">
      <alignment horizontal="center"/>
    </xf>
    <xf numFmtId="2" fontId="10" fillId="0" borderId="0" xfId="0" applyNumberFormat="1" applyFont="1" applyAlignment="1">
      <alignment horizontal="left"/>
    </xf>
    <xf numFmtId="2" fontId="22" fillId="0" borderId="0" xfId="0" applyNumberFormat="1" applyFont="1" applyAlignment="1">
      <alignment horizontal="left"/>
    </xf>
    <xf numFmtId="0" fontId="20" fillId="0" borderId="1" xfId="0" applyFont="1" applyBorder="1" applyAlignment="1">
      <alignment horizontal="right" indent="3"/>
    </xf>
    <xf numFmtId="0" fontId="20" fillId="0" borderId="0" xfId="0" applyFont="1" applyAlignment="1">
      <alignment horizontal="right" indent="3"/>
    </xf>
    <xf numFmtId="3" fontId="10" fillId="0" borderId="0" xfId="1" applyNumberFormat="1" applyFont="1" applyBorder="1"/>
    <xf numFmtId="3" fontId="10" fillId="0" borderId="0" xfId="1" quotePrefix="1" applyNumberFormat="1" applyFont="1" applyBorder="1"/>
    <xf numFmtId="3" fontId="10" fillId="0" borderId="0" xfId="1" applyNumberFormat="1" applyFont="1"/>
    <xf numFmtId="3" fontId="11" fillId="0" borderId="1" xfId="1" applyNumberFormat="1" applyFont="1" applyBorder="1"/>
    <xf numFmtId="37" fontId="11" fillId="0" borderId="1" xfId="0" applyNumberFormat="1" applyFont="1" applyBorder="1"/>
    <xf numFmtId="37" fontId="11" fillId="0" borderId="1" xfId="1" applyNumberFormat="1" applyFont="1" applyBorder="1"/>
    <xf numFmtId="3" fontId="17" fillId="8" borderId="0" xfId="1" applyNumberFormat="1" applyFont="1" applyFill="1" applyBorder="1"/>
    <xf numFmtId="164" fontId="17" fillId="8" borderId="0" xfId="1" applyNumberFormat="1" applyFont="1" applyFill="1" applyBorder="1"/>
    <xf numFmtId="164" fontId="10" fillId="8" borderId="0" xfId="1" applyNumberFormat="1" applyFont="1" applyFill="1" applyBorder="1"/>
    <xf numFmtId="0" fontId="0" fillId="36" borderId="0" xfId="0" applyFill="1"/>
    <xf numFmtId="167" fontId="0" fillId="0" borderId="0" xfId="9" applyNumberFormat="1" applyFont="1" applyFill="1"/>
    <xf numFmtId="3" fontId="10" fillId="0" borderId="1" xfId="0" applyNumberFormat="1" applyFont="1" applyBorder="1"/>
    <xf numFmtId="3" fontId="27" fillId="0" borderId="0" xfId="0" applyNumberFormat="1" applyFont="1"/>
    <xf numFmtId="0" fontId="10" fillId="36" borderId="0" xfId="0" applyFont="1" applyFill="1" applyAlignment="1">
      <alignment horizontal="left" indent="4"/>
    </xf>
    <xf numFmtId="0" fontId="37" fillId="0" borderId="0" xfId="0" applyFont="1" applyAlignment="1">
      <alignment horizontal="center" vertical="center" wrapText="1"/>
    </xf>
    <xf numFmtId="0" fontId="73" fillId="2" borderId="0" xfId="0" applyFont="1" applyFill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14" fontId="37" fillId="37" borderId="0" xfId="0" applyNumberFormat="1" applyFont="1" applyFill="1" applyAlignment="1">
      <alignment horizontal="center" vertical="center"/>
    </xf>
    <xf numFmtId="0" fontId="37" fillId="37" borderId="0" xfId="0" applyFont="1" applyFill="1" applyAlignment="1">
      <alignment horizontal="center" vertical="center"/>
    </xf>
    <xf numFmtId="0" fontId="73" fillId="37" borderId="0" xfId="0" applyFont="1" applyFill="1" applyAlignment="1">
      <alignment horizontal="center" vertical="center" wrapText="1"/>
    </xf>
    <xf numFmtId="0" fontId="73" fillId="38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indent="4"/>
    </xf>
    <xf numFmtId="37" fontId="11" fillId="0" borderId="0" xfId="0" applyNumberFormat="1" applyFont="1" applyAlignment="1">
      <alignment horizontal="center"/>
    </xf>
    <xf numFmtId="0" fontId="22" fillId="0" borderId="1" xfId="0" applyFont="1" applyBorder="1"/>
    <xf numFmtId="0" fontId="24" fillId="0" borderId="0" xfId="0" applyFont="1"/>
    <xf numFmtId="0" fontId="7" fillId="0" borderId="1" xfId="0" applyFont="1" applyBorder="1" applyAlignment="1">
      <alignment horizontal="left" indent="4"/>
    </xf>
    <xf numFmtId="3" fontId="10" fillId="33" borderId="1" xfId="0" applyNumberFormat="1" applyFont="1" applyFill="1" applyBorder="1"/>
    <xf numFmtId="3" fontId="10" fillId="33" borderId="1" xfId="0" applyNumberFormat="1" applyFont="1" applyFill="1" applyBorder="1" applyAlignment="1">
      <alignment horizontal="center"/>
    </xf>
    <xf numFmtId="37" fontId="10" fillId="33" borderId="1" xfId="0" applyNumberFormat="1" applyFont="1" applyFill="1" applyBorder="1"/>
    <xf numFmtId="3" fontId="11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1" fillId="0" borderId="1" xfId="0" applyFont="1" applyBorder="1" applyAlignment="1">
      <alignment vertical="center"/>
    </xf>
    <xf numFmtId="3" fontId="8" fillId="0" borderId="1" xfId="0" applyNumberFormat="1" applyFont="1" applyBorder="1"/>
    <xf numFmtId="3" fontId="7" fillId="0" borderId="0" xfId="0" applyNumberFormat="1" applyFont="1"/>
    <xf numFmtId="0" fontId="24" fillId="0" borderId="1" xfId="0" applyFont="1" applyBorder="1"/>
    <xf numFmtId="0" fontId="74" fillId="39" borderId="0" xfId="0" applyFont="1" applyFill="1"/>
    <xf numFmtId="0" fontId="74" fillId="40" borderId="0" xfId="0" applyFont="1" applyFill="1" applyAlignment="1">
      <alignment horizontal="center" vertical="center"/>
    </xf>
    <xf numFmtId="0" fontId="74" fillId="41" borderId="0" xfId="0" applyFont="1" applyFill="1" applyAlignment="1">
      <alignment horizontal="center" vertical="center"/>
    </xf>
    <xf numFmtId="0" fontId="74" fillId="42" borderId="0" xfId="0" applyFont="1" applyFill="1" applyAlignment="1">
      <alignment horizontal="center" vertical="center"/>
    </xf>
    <xf numFmtId="0" fontId="74" fillId="43" borderId="0" xfId="0" applyFont="1" applyFill="1" applyAlignment="1">
      <alignment horizontal="center" vertical="center"/>
    </xf>
    <xf numFmtId="0" fontId="74" fillId="44" borderId="0" xfId="0" applyFont="1" applyFill="1" applyAlignment="1">
      <alignment horizontal="center" vertical="center"/>
    </xf>
    <xf numFmtId="0" fontId="74" fillId="45" borderId="0" xfId="0" applyFont="1" applyFill="1" applyAlignment="1">
      <alignment horizontal="center" vertical="center"/>
    </xf>
    <xf numFmtId="0" fontId="74" fillId="46" borderId="0" xfId="0" applyFont="1" applyFill="1" applyAlignment="1">
      <alignment horizontal="center" vertical="center"/>
    </xf>
    <xf numFmtId="0" fontId="74" fillId="47" borderId="0" xfId="0" applyFont="1" applyFill="1" applyAlignment="1">
      <alignment horizontal="center" vertical="center"/>
    </xf>
    <xf numFmtId="0" fontId="75" fillId="48" borderId="0" xfId="0" applyFont="1" applyFill="1" applyAlignment="1">
      <alignment horizontal="center" vertical="center"/>
    </xf>
    <xf numFmtId="0" fontId="74" fillId="49" borderId="0" xfId="0" applyFont="1" applyFill="1" applyAlignment="1">
      <alignment horizontal="center" vertical="center"/>
    </xf>
    <xf numFmtId="0" fontId="74" fillId="50" borderId="0" xfId="0" applyFont="1" applyFill="1" applyAlignment="1">
      <alignment horizontal="center" vertical="center"/>
    </xf>
    <xf numFmtId="0" fontId="74" fillId="51" borderId="0" xfId="0" applyFont="1" applyFill="1" applyAlignment="1">
      <alignment horizontal="center" vertical="center"/>
    </xf>
    <xf numFmtId="0" fontId="74" fillId="52" borderId="0" xfId="0" applyFont="1" applyFill="1" applyAlignment="1">
      <alignment horizontal="center" vertical="center"/>
    </xf>
    <xf numFmtId="0" fontId="74" fillId="9" borderId="0" xfId="0" applyFont="1" applyFill="1"/>
    <xf numFmtId="0" fontId="76" fillId="8" borderId="0" xfId="0" applyFont="1" applyFill="1" applyAlignment="1">
      <alignment horizontal="center"/>
    </xf>
    <xf numFmtId="14" fontId="37" fillId="37" borderId="0" xfId="0" applyNumberFormat="1" applyFont="1" applyFill="1" applyAlignment="1">
      <alignment horizontal="left" vertical="center"/>
    </xf>
    <xf numFmtId="0" fontId="0" fillId="53" borderId="0" xfId="0" applyFill="1"/>
    <xf numFmtId="37" fontId="10" fillId="0" borderId="1" xfId="0" applyNumberFormat="1" applyFont="1" applyBorder="1"/>
    <xf numFmtId="0" fontId="72" fillId="0" borderId="0" xfId="0" applyFont="1" applyAlignment="1">
      <alignment horizontal="left"/>
    </xf>
    <xf numFmtId="39" fontId="48" fillId="0" borderId="8" xfId="0" applyNumberFormat="1" applyFont="1" applyBorder="1" applyAlignment="1">
      <alignment vertical="center"/>
    </xf>
    <xf numFmtId="0" fontId="0" fillId="13" borderId="0" xfId="0" applyFill="1"/>
    <xf numFmtId="0" fontId="74" fillId="54" borderId="0" xfId="0" applyFont="1" applyFill="1"/>
    <xf numFmtId="0" fontId="74" fillId="56" borderId="0" xfId="0" applyFont="1" applyFill="1"/>
    <xf numFmtId="0" fontId="74" fillId="47" borderId="0" xfId="0" applyFont="1" applyFill="1"/>
    <xf numFmtId="0" fontId="74" fillId="55" borderId="0" xfId="0" applyFont="1" applyFill="1"/>
    <xf numFmtId="0" fontId="12" fillId="13" borderId="0" xfId="0" applyFont="1" applyFill="1"/>
    <xf numFmtId="0" fontId="11" fillId="13" borderId="0" xfId="0" applyFont="1" applyFill="1" applyAlignment="1">
      <alignment horizontal="left" indent="4"/>
    </xf>
    <xf numFmtId="0" fontId="11" fillId="13" borderId="0" xfId="0" applyFont="1" applyFill="1"/>
    <xf numFmtId="3" fontId="11" fillId="13" borderId="0" xfId="0" applyNumberFormat="1" applyFont="1" applyFill="1"/>
    <xf numFmtId="3" fontId="11" fillId="13" borderId="5" xfId="0" applyNumberFormat="1" applyFont="1" applyFill="1" applyBorder="1"/>
    <xf numFmtId="39" fontId="11" fillId="13" borderId="0" xfId="0" applyNumberFormat="1" applyFont="1" applyFill="1"/>
    <xf numFmtId="3" fontId="11" fillId="13" borderId="43" xfId="0" applyNumberFormat="1" applyFont="1" applyFill="1" applyBorder="1"/>
    <xf numFmtId="3" fontId="11" fillId="13" borderId="0" xfId="0" applyNumberFormat="1" applyFont="1" applyFill="1" applyAlignment="1">
      <alignment horizontal="center"/>
    </xf>
    <xf numFmtId="37" fontId="11" fillId="13" borderId="0" xfId="0" applyNumberFormat="1" applyFont="1" applyFill="1"/>
    <xf numFmtId="37" fontId="11" fillId="13" borderId="0" xfId="0" applyNumberFormat="1" applyFont="1" applyFill="1" applyAlignment="1">
      <alignment horizontal="center"/>
    </xf>
    <xf numFmtId="0" fontId="74" fillId="57" borderId="0" xfId="0" applyFont="1" applyFill="1"/>
    <xf numFmtId="0" fontId="72" fillId="0" borderId="0" xfId="0" applyFont="1"/>
    <xf numFmtId="0" fontId="22" fillId="36" borderId="0" xfId="0" applyFont="1" applyFill="1" applyAlignment="1">
      <alignment vertical="center"/>
    </xf>
    <xf numFmtId="0" fontId="39" fillId="36" borderId="0" xfId="0" applyFont="1" applyFill="1" applyAlignment="1">
      <alignment vertical="center"/>
    </xf>
    <xf numFmtId="164" fontId="12" fillId="58" borderId="0" xfId="0" applyNumberFormat="1" applyFont="1" applyFill="1"/>
    <xf numFmtId="0" fontId="29" fillId="0" borderId="0" xfId="0" applyFont="1" applyAlignment="1">
      <alignment horizontal="left"/>
    </xf>
    <xf numFmtId="164" fontId="0" fillId="0" borderId="5" xfId="0" applyNumberFormat="1" applyBorder="1"/>
    <xf numFmtId="49" fontId="41" fillId="0" borderId="0" xfId="0" applyNumberFormat="1" applyFont="1" applyAlignment="1">
      <alignment horizontal="center"/>
    </xf>
    <xf numFmtId="49" fontId="12" fillId="6" borderId="0" xfId="0" applyNumberFormat="1" applyFont="1" applyFill="1" applyAlignment="1">
      <alignment horizontal="center"/>
    </xf>
    <xf numFmtId="49" fontId="12" fillId="0" borderId="0" xfId="0" applyNumberFormat="1" applyFont="1" applyAlignment="1">
      <alignment horizontal="center"/>
    </xf>
    <xf numFmtId="49" fontId="12" fillId="3" borderId="0" xfId="0" applyNumberFormat="1" applyFont="1" applyFill="1" applyAlignment="1">
      <alignment horizontal="center"/>
    </xf>
    <xf numFmtId="49" fontId="12" fillId="8" borderId="0" xfId="0" applyNumberFormat="1" applyFont="1" applyFill="1"/>
    <xf numFmtId="49" fontId="12" fillId="8" borderId="0" xfId="0" applyNumberFormat="1" applyFont="1" applyFill="1" applyAlignment="1">
      <alignment horizontal="center"/>
    </xf>
    <xf numFmtId="49" fontId="12" fillId="5" borderId="0" xfId="0" applyNumberFormat="1" applyFont="1" applyFill="1" applyAlignment="1">
      <alignment horizontal="center"/>
    </xf>
    <xf numFmtId="49" fontId="12" fillId="9" borderId="0" xfId="0" applyNumberFormat="1" applyFont="1" applyFill="1" applyAlignment="1">
      <alignment horizontal="center"/>
    </xf>
    <xf numFmtId="49" fontId="12" fillId="4" borderId="0" xfId="0" applyNumberFormat="1" applyFont="1" applyFill="1" applyAlignment="1">
      <alignment horizontal="center"/>
    </xf>
    <xf numFmtId="49" fontId="12" fillId="10" borderId="0" xfId="0" applyNumberFormat="1" applyFont="1" applyFill="1" applyAlignment="1">
      <alignment horizontal="center"/>
    </xf>
    <xf numFmtId="49" fontId="12" fillId="53" borderId="0" xfId="0" applyNumberFormat="1" applyFont="1" applyFill="1" applyAlignment="1">
      <alignment horizontal="center"/>
    </xf>
    <xf numFmtId="49" fontId="12" fillId="13" borderId="0" xfId="0" applyNumberFormat="1" applyFont="1" applyFill="1" applyAlignment="1">
      <alignment horizontal="center"/>
    </xf>
    <xf numFmtId="49" fontId="41" fillId="0" borderId="0" xfId="0" applyNumberFormat="1" applyFont="1" applyAlignment="1">
      <alignment horizontal="center" vertical="center"/>
    </xf>
    <xf numFmtId="49" fontId="12" fillId="59" borderId="0" xfId="0" applyNumberFormat="1" applyFont="1" applyFill="1" applyAlignment="1">
      <alignment horizontal="center"/>
    </xf>
    <xf numFmtId="49" fontId="12" fillId="36" borderId="0" xfId="0" applyNumberFormat="1" applyFont="1" applyFill="1" applyAlignment="1">
      <alignment horizontal="center"/>
    </xf>
    <xf numFmtId="0" fontId="11" fillId="13" borderId="1" xfId="0" applyFont="1" applyFill="1" applyBorder="1" applyAlignment="1">
      <alignment horizontal="center"/>
    </xf>
    <xf numFmtId="0" fontId="11" fillId="13" borderId="1" xfId="0" applyFont="1" applyFill="1" applyBorder="1"/>
    <xf numFmtId="3" fontId="11" fillId="13" borderId="1" xfId="0" applyNumberFormat="1" applyFont="1" applyFill="1" applyBorder="1"/>
    <xf numFmtId="39" fontId="11" fillId="13" borderId="1" xfId="0" applyNumberFormat="1" applyFont="1" applyFill="1" applyBorder="1"/>
    <xf numFmtId="0" fontId="10" fillId="13" borderId="0" xfId="0" applyFont="1" applyFill="1" applyAlignment="1">
      <alignment horizontal="center"/>
    </xf>
    <xf numFmtId="164" fontId="7" fillId="13" borderId="0" xfId="1" applyNumberFormat="1" applyFont="1" applyFill="1" applyBorder="1" applyAlignment="1">
      <alignment horizontal="center"/>
    </xf>
    <xf numFmtId="3" fontId="10" fillId="13" borderId="0" xfId="0" applyNumberFormat="1" applyFont="1" applyFill="1"/>
    <xf numFmtId="3" fontId="10" fillId="13" borderId="5" xfId="0" applyNumberFormat="1" applyFont="1" applyFill="1" applyBorder="1"/>
    <xf numFmtId="39" fontId="10" fillId="13" borderId="0" xfId="0" applyNumberFormat="1" applyFont="1" applyFill="1"/>
    <xf numFmtId="3" fontId="10" fillId="13" borderId="0" xfId="0" applyNumberFormat="1" applyFont="1" applyFill="1" applyAlignment="1">
      <alignment horizontal="center"/>
    </xf>
    <xf numFmtId="164" fontId="10" fillId="13" borderId="0" xfId="1" applyNumberFormat="1" applyFont="1" applyFill="1" applyAlignment="1">
      <alignment horizontal="center"/>
    </xf>
    <xf numFmtId="164" fontId="27" fillId="13" borderId="0" xfId="1" applyNumberFormat="1" applyFont="1" applyFill="1" applyAlignment="1">
      <alignment horizontal="center"/>
    </xf>
    <xf numFmtId="0" fontId="7" fillId="13" borderId="0" xfId="0" applyFont="1" applyFill="1" applyAlignment="1">
      <alignment horizontal="center"/>
    </xf>
    <xf numFmtId="0" fontId="22" fillId="13" borderId="0" xfId="0" applyFont="1" applyFill="1" applyAlignment="1">
      <alignment horizontal="center"/>
    </xf>
    <xf numFmtId="164" fontId="10" fillId="13" borderId="0" xfId="1" applyNumberFormat="1" applyFont="1" applyFill="1" applyBorder="1" applyAlignment="1">
      <alignment horizontal="center"/>
    </xf>
    <xf numFmtId="0" fontId="12" fillId="13" borderId="1" xfId="0" applyFont="1" applyFill="1" applyBorder="1" applyAlignment="1">
      <alignment horizontal="left"/>
    </xf>
    <xf numFmtId="0" fontId="11" fillId="13" borderId="1" xfId="0" applyFont="1" applyFill="1" applyBorder="1" applyAlignment="1">
      <alignment horizontal="left"/>
    </xf>
    <xf numFmtId="0" fontId="14" fillId="13" borderId="1" xfId="0" applyFont="1" applyFill="1" applyBorder="1" applyAlignment="1">
      <alignment horizontal="center" vertical="center"/>
    </xf>
    <xf numFmtId="0" fontId="10" fillId="13" borderId="0" xfId="0" applyFont="1" applyFill="1" applyAlignment="1">
      <alignment horizontal="left"/>
    </xf>
    <xf numFmtId="0" fontId="10" fillId="13" borderId="0" xfId="0" applyFont="1" applyFill="1" applyAlignment="1">
      <alignment horizontal="left" indent="4"/>
    </xf>
    <xf numFmtId="0" fontId="15" fillId="13" borderId="0" xfId="0" applyFont="1" applyFill="1" applyAlignment="1">
      <alignment horizontal="right"/>
    </xf>
    <xf numFmtId="0" fontId="10" fillId="13" borderId="0" xfId="0" applyFont="1" applyFill="1" applyAlignment="1">
      <alignment horizontal="right"/>
    </xf>
    <xf numFmtId="0" fontId="13" fillId="13" borderId="0" xfId="0" applyFont="1" applyFill="1" applyAlignment="1">
      <alignment horizontal="center" vertical="center"/>
    </xf>
    <xf numFmtId="0" fontId="14" fillId="13" borderId="1" xfId="0" applyFont="1" applyFill="1" applyBorder="1" applyAlignment="1">
      <alignment horizontal="center"/>
    </xf>
    <xf numFmtId="0" fontId="10" fillId="13" borderId="0" xfId="0" applyFont="1" applyFill="1"/>
    <xf numFmtId="0" fontId="13" fillId="13" borderId="0" xfId="0" applyFont="1" applyFill="1" applyAlignment="1">
      <alignment horizontal="center"/>
    </xf>
    <xf numFmtId="0" fontId="10" fillId="13" borderId="0" xfId="0" applyFont="1" applyFill="1" applyAlignment="1">
      <alignment horizontal="left" wrapText="1" indent="4"/>
    </xf>
    <xf numFmtId="9" fontId="11" fillId="6" borderId="0" xfId="0" applyNumberFormat="1" applyFont="1" applyFill="1" applyAlignment="1">
      <alignment horizontal="center"/>
    </xf>
    <xf numFmtId="9" fontId="11" fillId="0" borderId="0" xfId="0" applyNumberFormat="1" applyFont="1" applyAlignment="1">
      <alignment horizontal="center"/>
    </xf>
    <xf numFmtId="9" fontId="10" fillId="0" borderId="0" xfId="1" applyNumberFormat="1" applyFont="1" applyAlignment="1">
      <alignment horizontal="center"/>
    </xf>
    <xf numFmtId="9" fontId="11" fillId="0" borderId="0" xfId="1" applyNumberFormat="1" applyFont="1" applyBorder="1" applyAlignment="1">
      <alignment horizontal="center"/>
    </xf>
    <xf numFmtId="9" fontId="10" fillId="0" borderId="0" xfId="1" applyNumberFormat="1" applyFont="1" applyBorder="1" applyAlignment="1">
      <alignment horizontal="center"/>
    </xf>
    <xf numFmtId="9" fontId="10" fillId="0" borderId="0" xfId="0" applyNumberFormat="1" applyFont="1" applyAlignment="1">
      <alignment horizontal="center"/>
    </xf>
    <xf numFmtId="9" fontId="11" fillId="3" borderId="0" xfId="0" applyNumberFormat="1" applyFont="1" applyFill="1" applyAlignment="1">
      <alignment horizontal="center"/>
    </xf>
    <xf numFmtId="9" fontId="11" fillId="13" borderId="0" xfId="0" applyNumberFormat="1" applyFont="1" applyFill="1" applyAlignment="1">
      <alignment horizontal="center"/>
    </xf>
    <xf numFmtId="9" fontId="10" fillId="13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9" fontId="15" fillId="0" borderId="0" xfId="0" applyNumberFormat="1" applyFont="1" applyAlignment="1">
      <alignment horizontal="center"/>
    </xf>
    <xf numFmtId="9" fontId="11" fillId="8" borderId="0" xfId="1" applyNumberFormat="1" applyFont="1" applyFill="1" applyAlignment="1">
      <alignment horizontal="center"/>
    </xf>
    <xf numFmtId="9" fontId="10" fillId="0" borderId="0" xfId="1" applyNumberFormat="1" applyFont="1" applyFill="1" applyBorder="1" applyAlignment="1">
      <alignment horizontal="center"/>
    </xf>
    <xf numFmtId="9" fontId="5" fillId="11" borderId="0" xfId="0" applyNumberFormat="1" applyFont="1" applyFill="1" applyAlignment="1">
      <alignment horizontal="center" vertical="top" wrapText="1"/>
    </xf>
    <xf numFmtId="9" fontId="29" fillId="11" borderId="0" xfId="0" applyNumberFormat="1" applyFont="1" applyFill="1" applyAlignment="1">
      <alignment horizontal="center" vertical="top" wrapText="1"/>
    </xf>
    <xf numFmtId="9" fontId="6" fillId="11" borderId="0" xfId="0" applyNumberFormat="1" applyFont="1" applyFill="1" applyAlignment="1">
      <alignment horizontal="center" wrapText="1"/>
    </xf>
    <xf numFmtId="9" fontId="11" fillId="5" borderId="0" xfId="1" applyNumberFormat="1" applyFont="1" applyFill="1" applyAlignment="1">
      <alignment horizontal="center"/>
    </xf>
    <xf numFmtId="9" fontId="11" fillId="9" borderId="0" xfId="1" applyNumberFormat="1" applyFont="1" applyFill="1" applyAlignment="1">
      <alignment horizontal="center"/>
    </xf>
    <xf numFmtId="9" fontId="11" fillId="4" borderId="0" xfId="1" applyNumberFormat="1" applyFont="1" applyFill="1" applyAlignment="1">
      <alignment horizontal="center"/>
    </xf>
    <xf numFmtId="9" fontId="11" fillId="10" borderId="0" xfId="1" applyNumberFormat="1" applyFont="1" applyFill="1" applyAlignment="1">
      <alignment horizontal="center"/>
    </xf>
    <xf numFmtId="9" fontId="11" fillId="14" borderId="0" xfId="1" applyNumberFormat="1" applyFont="1" applyFill="1" applyAlignment="1">
      <alignment horizontal="center"/>
    </xf>
    <xf numFmtId="9" fontId="11" fillId="13" borderId="0" xfId="1" applyNumberFormat="1" applyFont="1" applyFill="1" applyAlignment="1">
      <alignment horizontal="center"/>
    </xf>
    <xf numFmtId="9" fontId="5" fillId="11" borderId="0" xfId="0" applyNumberFormat="1" applyFont="1" applyFill="1" applyAlignment="1">
      <alignment horizontal="center" vertical="center" wrapText="1"/>
    </xf>
    <xf numFmtId="9" fontId="12" fillId="0" borderId="0" xfId="0" applyNumberFormat="1" applyFont="1" applyAlignment="1">
      <alignment horizontal="center"/>
    </xf>
    <xf numFmtId="9" fontId="20" fillId="0" borderId="0" xfId="0" applyNumberFormat="1" applyFont="1" applyAlignment="1">
      <alignment horizontal="center"/>
    </xf>
    <xf numFmtId="0" fontId="78" fillId="36" borderId="0" xfId="0" applyFont="1" applyFill="1" applyAlignment="1">
      <alignment vertical="center"/>
    </xf>
    <xf numFmtId="0" fontId="7" fillId="60" borderId="0" xfId="0" applyFont="1" applyFill="1" applyAlignment="1">
      <alignment horizontal="center" vertical="center"/>
    </xf>
    <xf numFmtId="39" fontId="6" fillId="11" borderId="0" xfId="0" applyNumberFormat="1" applyFont="1" applyFill="1" applyAlignment="1">
      <alignment horizontal="center" wrapText="1"/>
    </xf>
    <xf numFmtId="3" fontId="6" fillId="11" borderId="0" xfId="0" applyNumberFormat="1" applyFont="1" applyFill="1" applyAlignment="1">
      <alignment horizontal="right"/>
    </xf>
    <xf numFmtId="3" fontId="6" fillId="11" borderId="0" xfId="0" applyNumberFormat="1" applyFont="1" applyFill="1" applyAlignment="1">
      <alignment horizontal="center"/>
    </xf>
    <xf numFmtId="9" fontId="6" fillId="11" borderId="0" xfId="9" applyFont="1" applyFill="1" applyAlignment="1">
      <alignment horizontal="center"/>
    </xf>
    <xf numFmtId="0" fontId="43" fillId="34" borderId="2" xfId="0" applyFont="1" applyFill="1" applyBorder="1" applyAlignment="1">
      <alignment horizontal="left" indent="2"/>
    </xf>
    <xf numFmtId="164" fontId="48" fillId="34" borderId="2" xfId="0" applyNumberFormat="1" applyFont="1" applyFill="1" applyBorder="1"/>
    <xf numFmtId="0" fontId="48" fillId="34" borderId="2" xfId="0" applyFont="1" applyFill="1" applyBorder="1"/>
    <xf numFmtId="164" fontId="43" fillId="34" borderId="2" xfId="1" applyNumberFormat="1" applyFont="1" applyFill="1" applyBorder="1"/>
    <xf numFmtId="164" fontId="43" fillId="34" borderId="2" xfId="0" applyNumberFormat="1" applyFont="1" applyFill="1" applyBorder="1" applyAlignment="1">
      <alignment horizontal="center" vertical="center"/>
    </xf>
    <xf numFmtId="0" fontId="43" fillId="34" borderId="2" xfId="0" applyFont="1" applyFill="1" applyBorder="1" applyAlignment="1">
      <alignment horizontal="center" vertical="center"/>
    </xf>
    <xf numFmtId="0" fontId="43" fillId="0" borderId="0" xfId="0" applyFont="1"/>
    <xf numFmtId="164" fontId="43" fillId="34" borderId="2" xfId="1" applyNumberFormat="1" applyFont="1" applyFill="1" applyBorder="1" applyAlignment="1">
      <alignment horizontal="center" vertical="center"/>
    </xf>
    <xf numFmtId="0" fontId="43" fillId="34" borderId="0" xfId="0" applyFont="1" applyFill="1" applyAlignment="1">
      <alignment horizontal="left" indent="2"/>
    </xf>
    <xf numFmtId="164" fontId="48" fillId="34" borderId="0" xfId="0" applyNumberFormat="1" applyFont="1" applyFill="1"/>
    <xf numFmtId="0" fontId="48" fillId="34" borderId="0" xfId="0" applyFont="1" applyFill="1"/>
    <xf numFmtId="164" fontId="43" fillId="34" borderId="0" xfId="1" applyNumberFormat="1" applyFont="1" applyFill="1" applyBorder="1"/>
    <xf numFmtId="164" fontId="43" fillId="34" borderId="0" xfId="0" applyNumberFormat="1" applyFont="1" applyFill="1" applyAlignment="1">
      <alignment horizontal="center" vertical="center"/>
    </xf>
    <xf numFmtId="0" fontId="43" fillId="34" borderId="0" xfId="0" applyFont="1" applyFill="1" applyAlignment="1">
      <alignment horizontal="center" vertical="center"/>
    </xf>
    <xf numFmtId="164" fontId="43" fillId="34" borderId="0" xfId="1" applyNumberFormat="1" applyFont="1" applyFill="1" applyBorder="1" applyAlignment="1">
      <alignment horizontal="center" vertical="center"/>
    </xf>
    <xf numFmtId="0" fontId="43" fillId="0" borderId="0" xfId="0" applyFont="1" applyAlignment="1">
      <alignment horizontal="left" indent="2"/>
    </xf>
    <xf numFmtId="164" fontId="48" fillId="0" borderId="0" xfId="0" applyNumberFormat="1" applyFont="1"/>
    <xf numFmtId="43" fontId="43" fillId="0" borderId="0" xfId="0" applyNumberFormat="1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164" fontId="43" fillId="0" borderId="0" xfId="1" applyNumberFormat="1" applyFont="1" applyFill="1" applyBorder="1" applyAlignment="1">
      <alignment horizontal="center" vertical="center"/>
    </xf>
    <xf numFmtId="170" fontId="43" fillId="0" borderId="0" xfId="0" applyNumberFormat="1" applyFont="1"/>
    <xf numFmtId="164" fontId="79" fillId="0" borderId="0" xfId="1" applyNumberFormat="1" applyFont="1" applyFill="1" applyBorder="1" applyAlignment="1">
      <alignment vertical="center"/>
    </xf>
    <xf numFmtId="0" fontId="43" fillId="31" borderId="0" xfId="0" applyFont="1" applyFill="1" applyAlignment="1">
      <alignment horizontal="left" indent="2"/>
    </xf>
    <xf numFmtId="164" fontId="48" fillId="31" borderId="0" xfId="0" applyNumberFormat="1" applyFont="1" applyFill="1"/>
    <xf numFmtId="0" fontId="48" fillId="31" borderId="0" xfId="0" applyFont="1" applyFill="1"/>
    <xf numFmtId="164" fontId="43" fillId="31" borderId="0" xfId="1" applyNumberFormat="1" applyFont="1" applyFill="1" applyBorder="1"/>
    <xf numFmtId="43" fontId="43" fillId="31" borderId="0" xfId="0" applyNumberFormat="1" applyFont="1" applyFill="1" applyAlignment="1">
      <alignment horizontal="center" vertical="center"/>
    </xf>
    <xf numFmtId="0" fontId="43" fillId="31" borderId="0" xfId="0" applyFont="1" applyFill="1" applyAlignment="1">
      <alignment horizontal="center" vertical="center"/>
    </xf>
    <xf numFmtId="164" fontId="43" fillId="31" borderId="0" xfId="1" applyNumberFormat="1" applyFont="1" applyFill="1" applyBorder="1" applyAlignment="1">
      <alignment horizontal="center" vertical="center"/>
    </xf>
    <xf numFmtId="164" fontId="80" fillId="0" borderId="0" xfId="1" applyNumberFormat="1" applyFont="1" applyBorder="1"/>
    <xf numFmtId="164" fontId="80" fillId="0" borderId="0" xfId="0" applyNumberFormat="1" applyFont="1" applyAlignment="1">
      <alignment horizontal="center"/>
    </xf>
    <xf numFmtId="164" fontId="80" fillId="0" borderId="0" xfId="0" applyNumberFormat="1" applyFont="1"/>
    <xf numFmtId="164" fontId="43" fillId="0" borderId="0" xfId="1" applyNumberFormat="1" applyFont="1" applyFill="1" applyBorder="1"/>
    <xf numFmtId="164" fontId="79" fillId="34" borderId="2" xfId="1" applyNumberFormat="1" applyFont="1" applyFill="1" applyBorder="1" applyAlignment="1">
      <alignment vertical="center"/>
    </xf>
    <xf numFmtId="164" fontId="43" fillId="34" borderId="0" xfId="1" applyNumberFormat="1" applyFont="1" applyFill="1" applyBorder="1" applyAlignment="1">
      <alignment vertical="center"/>
    </xf>
    <xf numFmtId="164" fontId="43" fillId="31" borderId="0" xfId="1" applyNumberFormat="1" applyFont="1" applyFill="1" applyBorder="1" applyAlignment="1">
      <alignment vertical="center"/>
    </xf>
    <xf numFmtId="164" fontId="79" fillId="31" borderId="0" xfId="1" applyNumberFormat="1" applyFont="1" applyFill="1" applyBorder="1" applyAlignment="1">
      <alignment vertical="center"/>
    </xf>
    <xf numFmtId="164" fontId="43" fillId="31" borderId="1" xfId="0" applyNumberFormat="1" applyFont="1" applyFill="1" applyBorder="1"/>
    <xf numFmtId="164" fontId="43" fillId="31" borderId="1" xfId="1" applyNumberFormat="1" applyFont="1" applyFill="1" applyBorder="1"/>
    <xf numFmtId="164" fontId="43" fillId="31" borderId="1" xfId="0" applyNumberFormat="1" applyFont="1" applyFill="1" applyBorder="1" applyAlignment="1">
      <alignment horizontal="center" vertical="center"/>
    </xf>
    <xf numFmtId="0" fontId="43" fillId="31" borderId="1" xfId="0" applyFont="1" applyFill="1" applyBorder="1" applyAlignment="1">
      <alignment horizontal="center" vertical="center"/>
    </xf>
    <xf numFmtId="164" fontId="43" fillId="31" borderId="1" xfId="1" applyNumberFormat="1" applyFont="1" applyFill="1" applyBorder="1" applyAlignment="1">
      <alignment horizontal="center" vertical="center"/>
    </xf>
    <xf numFmtId="164" fontId="79" fillId="0" borderId="0" xfId="1" applyNumberFormat="1" applyFont="1" applyBorder="1"/>
    <xf numFmtId="164" fontId="79" fillId="0" borderId="0" xfId="0" applyNumberFormat="1" applyFont="1"/>
    <xf numFmtId="0" fontId="39" fillId="0" borderId="42" xfId="0" applyFont="1" applyBorder="1" applyAlignment="1">
      <alignment horizontal="center" vertical="center"/>
    </xf>
    <xf numFmtId="37" fontId="39" fillId="0" borderId="5" xfId="0" applyNumberFormat="1" applyFont="1" applyBorder="1" applyAlignment="1">
      <alignment horizontal="left" vertical="center"/>
    </xf>
    <xf numFmtId="37" fontId="39" fillId="22" borderId="0" xfId="0" applyNumberFormat="1" applyFont="1" applyFill="1" applyAlignment="1">
      <alignment vertical="center"/>
    </xf>
    <xf numFmtId="37" fontId="39" fillId="8" borderId="44" xfId="0" applyNumberFormat="1" applyFont="1" applyFill="1" applyBorder="1" applyAlignment="1">
      <alignment vertical="center"/>
    </xf>
    <xf numFmtId="37" fontId="39" fillId="6" borderId="42" xfId="0" applyNumberFormat="1" applyFont="1" applyFill="1" applyBorder="1" applyAlignment="1">
      <alignment vertical="center"/>
    </xf>
    <xf numFmtId="37" fontId="39" fillId="3" borderId="44" xfId="0" applyNumberFormat="1" applyFont="1" applyFill="1" applyBorder="1" applyAlignment="1">
      <alignment vertical="center"/>
    </xf>
    <xf numFmtId="37" fontId="39" fillId="4" borderId="5" xfId="0" applyNumberFormat="1" applyFont="1" applyFill="1" applyBorder="1" applyAlignment="1">
      <alignment vertical="center"/>
    </xf>
    <xf numFmtId="37" fontId="39" fillId="5" borderId="5" xfId="0" applyNumberFormat="1" applyFont="1" applyFill="1" applyBorder="1" applyAlignment="1">
      <alignment vertical="center"/>
    </xf>
    <xf numFmtId="37" fontId="39" fillId="10" borderId="44" xfId="0" applyNumberFormat="1" applyFont="1" applyFill="1" applyBorder="1" applyAlignment="1">
      <alignment vertical="center"/>
    </xf>
    <xf numFmtId="37" fontId="39" fillId="9" borderId="44" xfId="0" applyNumberFormat="1" applyFont="1" applyFill="1" applyBorder="1" applyAlignment="1">
      <alignment vertical="center"/>
    </xf>
    <xf numFmtId="0" fontId="39" fillId="0" borderId="70" xfId="0" applyFont="1" applyBorder="1" applyAlignment="1">
      <alignment horizontal="center" vertical="center"/>
    </xf>
    <xf numFmtId="37" fontId="39" fillId="0" borderId="71" xfId="0" applyNumberFormat="1" applyFont="1" applyBorder="1" applyAlignment="1">
      <alignment horizontal="left" vertical="center"/>
    </xf>
    <xf numFmtId="37" fontId="39" fillId="0" borderId="15" xfId="0" applyNumberFormat="1" applyFont="1" applyBorder="1" applyAlignment="1">
      <alignment vertical="center"/>
    </xf>
    <xf numFmtId="37" fontId="39" fillId="27" borderId="15" xfId="0" applyNumberFormat="1" applyFont="1" applyFill="1" applyBorder="1" applyAlignment="1">
      <alignment vertical="center"/>
    </xf>
    <xf numFmtId="37" fontId="39" fillId="22" borderId="72" xfId="0" applyNumberFormat="1" applyFont="1" applyFill="1" applyBorder="1" applyAlignment="1">
      <alignment vertical="center"/>
    </xf>
    <xf numFmtId="37" fontId="39" fillId="28" borderId="15" xfId="0" applyNumberFormat="1" applyFont="1" applyFill="1" applyBorder="1" applyAlignment="1">
      <alignment vertical="center"/>
    </xf>
    <xf numFmtId="37" fontId="39" fillId="25" borderId="49" xfId="0" applyNumberFormat="1" applyFont="1" applyFill="1" applyBorder="1" applyAlignment="1">
      <alignment vertical="center"/>
    </xf>
    <xf numFmtId="2" fontId="0" fillId="0" borderId="15" xfId="0" applyNumberFormat="1" applyBorder="1"/>
    <xf numFmtId="37" fontId="45" fillId="26" borderId="15" xfId="0" applyNumberFormat="1" applyFont="1" applyFill="1" applyBorder="1" applyAlignment="1">
      <alignment vertical="center"/>
    </xf>
    <xf numFmtId="37" fontId="39" fillId="8" borderId="73" xfId="0" applyNumberFormat="1" applyFont="1" applyFill="1" applyBorder="1" applyAlignment="1">
      <alignment vertical="center"/>
    </xf>
    <xf numFmtId="37" fontId="39" fillId="6" borderId="70" xfId="0" applyNumberFormat="1" applyFont="1" applyFill="1" applyBorder="1" applyAlignment="1">
      <alignment vertical="center"/>
    </xf>
    <xf numFmtId="37" fontId="39" fillId="3" borderId="73" xfId="0" applyNumberFormat="1" applyFont="1" applyFill="1" applyBorder="1" applyAlignment="1">
      <alignment vertical="center"/>
    </xf>
    <xf numFmtId="37" fontId="39" fillId="4" borderId="71" xfId="0" applyNumberFormat="1" applyFont="1" applyFill="1" applyBorder="1" applyAlignment="1">
      <alignment vertical="center"/>
    </xf>
    <xf numFmtId="37" fontId="39" fillId="5" borderId="71" xfId="0" applyNumberFormat="1" applyFont="1" applyFill="1" applyBorder="1" applyAlignment="1">
      <alignment vertical="center"/>
    </xf>
    <xf numFmtId="37" fontId="39" fillId="10" borderId="73" xfId="0" applyNumberFormat="1" applyFont="1" applyFill="1" applyBorder="1" applyAlignment="1">
      <alignment vertical="center"/>
    </xf>
    <xf numFmtId="37" fontId="39" fillId="9" borderId="73" xfId="0" applyNumberFormat="1" applyFont="1" applyFill="1" applyBorder="1" applyAlignment="1">
      <alignment vertical="center"/>
    </xf>
    <xf numFmtId="37" fontId="39" fillId="14" borderId="18" xfId="0" applyNumberFormat="1" applyFont="1" applyFill="1" applyBorder="1" applyAlignment="1">
      <alignment vertical="center"/>
    </xf>
    <xf numFmtId="0" fontId="39" fillId="0" borderId="74" xfId="0" applyFont="1" applyBorder="1" applyAlignment="1">
      <alignment horizontal="center" vertical="center"/>
    </xf>
    <xf numFmtId="37" fontId="39" fillId="0" borderId="75" xfId="0" applyNumberFormat="1" applyFont="1" applyBorder="1" applyAlignment="1">
      <alignment horizontal="left" vertical="center"/>
    </xf>
    <xf numFmtId="37" fontId="39" fillId="22" borderId="76" xfId="0" applyNumberFormat="1" applyFont="1" applyFill="1" applyBorder="1" applyAlignment="1">
      <alignment vertical="center"/>
    </xf>
    <xf numFmtId="37" fontId="39" fillId="8" borderId="77" xfId="0" applyNumberFormat="1" applyFont="1" applyFill="1" applyBorder="1" applyAlignment="1">
      <alignment vertical="center"/>
    </xf>
    <xf numFmtId="37" fontId="39" fillId="6" borderId="74" xfId="0" applyNumberFormat="1" applyFont="1" applyFill="1" applyBorder="1" applyAlignment="1">
      <alignment vertical="center"/>
    </xf>
    <xf numFmtId="37" fontId="39" fillId="3" borderId="77" xfId="0" applyNumberFormat="1" applyFont="1" applyFill="1" applyBorder="1" applyAlignment="1">
      <alignment vertical="center"/>
    </xf>
    <xf numFmtId="37" fontId="39" fillId="4" borderId="75" xfId="0" applyNumberFormat="1" applyFont="1" applyFill="1" applyBorder="1" applyAlignment="1">
      <alignment vertical="center"/>
    </xf>
    <xf numFmtId="37" fontId="39" fillId="5" borderId="75" xfId="0" applyNumberFormat="1" applyFont="1" applyFill="1" applyBorder="1" applyAlignment="1">
      <alignment vertical="center"/>
    </xf>
    <xf numFmtId="37" fontId="39" fillId="10" borderId="77" xfId="0" applyNumberFormat="1" applyFont="1" applyFill="1" applyBorder="1" applyAlignment="1">
      <alignment vertical="center"/>
    </xf>
    <xf numFmtId="37" fontId="39" fillId="9" borderId="77" xfId="0" applyNumberFormat="1" applyFont="1" applyFill="1" applyBorder="1" applyAlignment="1">
      <alignment vertical="center"/>
    </xf>
    <xf numFmtId="0" fontId="0" fillId="0" borderId="15" xfId="0" applyBorder="1"/>
    <xf numFmtId="2" fontId="48" fillId="0" borderId="8" xfId="0" applyNumberFormat="1" applyFont="1" applyBorder="1" applyAlignment="1">
      <alignment vertical="center"/>
    </xf>
    <xf numFmtId="2" fontId="48" fillId="0" borderId="9" xfId="0" applyNumberFormat="1" applyFont="1" applyBorder="1" applyAlignment="1">
      <alignment vertical="center"/>
    </xf>
    <xf numFmtId="37" fontId="58" fillId="14" borderId="18" xfId="0" applyNumberFormat="1" applyFont="1" applyFill="1" applyBorder="1" applyAlignment="1">
      <alignment vertical="center"/>
    </xf>
    <xf numFmtId="164" fontId="43" fillId="0" borderId="0" xfId="1" applyNumberFormat="1" applyFont="1" applyFill="1"/>
    <xf numFmtId="164" fontId="43" fillId="0" borderId="1" xfId="1" applyNumberFormat="1" applyFont="1" applyFill="1" applyBorder="1"/>
    <xf numFmtId="0" fontId="39" fillId="0" borderId="0" xfId="0" quotePrefix="1" applyFont="1"/>
    <xf numFmtId="0" fontId="39" fillId="0" borderId="0" xfId="0" applyFont="1" applyAlignment="1">
      <alignment horizontal="right"/>
    </xf>
    <xf numFmtId="0" fontId="81" fillId="36" borderId="0" xfId="0" applyFont="1" applyFill="1" applyAlignment="1">
      <alignment vertical="center"/>
    </xf>
    <xf numFmtId="0" fontId="33" fillId="36" borderId="0" xfId="0" applyFont="1" applyFill="1"/>
    <xf numFmtId="10" fontId="48" fillId="0" borderId="7" xfId="0" applyNumberFormat="1" applyFont="1" applyBorder="1" applyAlignment="1">
      <alignment vertical="center"/>
    </xf>
    <xf numFmtId="164" fontId="43" fillId="0" borderId="69" xfId="1" applyNumberFormat="1" applyFont="1" applyFill="1" applyBorder="1" applyAlignment="1">
      <alignment horizontal="right"/>
    </xf>
    <xf numFmtId="164" fontId="48" fillId="0" borderId="0" xfId="1" applyNumberFormat="1" applyFont="1" applyFill="1" applyBorder="1"/>
    <xf numFmtId="172" fontId="57" fillId="0" borderId="69" xfId="0" applyNumberFormat="1" applyFont="1" applyBorder="1"/>
    <xf numFmtId="164" fontId="48" fillId="30" borderId="69" xfId="1" applyNumberFormat="1" applyFont="1" applyFill="1" applyBorder="1"/>
    <xf numFmtId="164" fontId="48" fillId="30" borderId="69" xfId="0" applyNumberFormat="1" applyFont="1" applyFill="1" applyBorder="1"/>
    <xf numFmtId="0" fontId="48" fillId="30" borderId="69" xfId="0" applyFont="1" applyFill="1" applyBorder="1" applyAlignment="1">
      <alignment horizontal="center" vertical="center"/>
    </xf>
    <xf numFmtId="0" fontId="43" fillId="31" borderId="1" xfId="0" applyFont="1" applyFill="1" applyBorder="1" applyAlignment="1">
      <alignment horizontal="left" indent="2"/>
    </xf>
    <xf numFmtId="164" fontId="48" fillId="31" borderId="1" xfId="0" applyNumberFormat="1" applyFont="1" applyFill="1" applyBorder="1"/>
    <xf numFmtId="0" fontId="34" fillId="30" borderId="8" xfId="0" applyFont="1" applyFill="1" applyBorder="1"/>
    <xf numFmtId="164" fontId="61" fillId="30" borderId="8" xfId="0" applyNumberFormat="1" applyFont="1" applyFill="1" applyBorder="1" applyAlignment="1">
      <alignment vertical="center"/>
    </xf>
    <xf numFmtId="0" fontId="82" fillId="0" borderId="0" xfId="0" applyFont="1" applyAlignment="1">
      <alignment vertical="center"/>
    </xf>
    <xf numFmtId="0" fontId="83" fillId="0" borderId="0" xfId="0" applyFont="1" applyAlignment="1">
      <alignment vertical="center"/>
    </xf>
    <xf numFmtId="0" fontId="50" fillId="0" borderId="1" xfId="0" applyFont="1" applyBorder="1"/>
    <xf numFmtId="0" fontId="50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right"/>
    </xf>
    <xf numFmtId="0" fontId="0" fillId="0" borderId="0" xfId="0" applyAlignment="1">
      <alignment horizontal="right"/>
    </xf>
    <xf numFmtId="164" fontId="21" fillId="0" borderId="0" xfId="1" applyNumberFormat="1" applyFont="1" applyAlignment="1">
      <alignment horizontal="right"/>
    </xf>
    <xf numFmtId="0" fontId="21" fillId="61" borderId="0" xfId="0" applyFont="1" applyFill="1" applyAlignment="1">
      <alignment vertical="center"/>
    </xf>
    <xf numFmtId="0" fontId="21" fillId="61" borderId="0" xfId="0" applyFont="1" applyFill="1" applyAlignment="1">
      <alignment horizontal="center" vertical="center" wrapText="1"/>
    </xf>
    <xf numFmtId="164" fontId="21" fillId="61" borderId="0" xfId="1" applyNumberFormat="1" applyFont="1" applyFill="1" applyAlignment="1">
      <alignment horizontal="right" vertical="center"/>
    </xf>
    <xf numFmtId="0" fontId="21" fillId="61" borderId="0" xfId="0" applyFont="1" applyFill="1" applyAlignment="1">
      <alignment horizontal="center" vertical="center"/>
    </xf>
    <xf numFmtId="164" fontId="21" fillId="61" borderId="0" xfId="1" applyNumberFormat="1" applyFont="1" applyFill="1" applyBorder="1" applyAlignment="1">
      <alignment horizontal="right" vertical="center"/>
    </xf>
    <xf numFmtId="0" fontId="21" fillId="0" borderId="1" xfId="0" applyFont="1" applyBorder="1"/>
    <xf numFmtId="0" fontId="0" fillId="0" borderId="1" xfId="0" applyBorder="1" applyAlignment="1">
      <alignment horizontal="center"/>
    </xf>
    <xf numFmtId="164" fontId="21" fillId="0" borderId="1" xfId="1" applyNumberFormat="1" applyFont="1" applyBorder="1" applyAlignment="1">
      <alignment horizontal="right"/>
    </xf>
    <xf numFmtId="9" fontId="21" fillId="0" borderId="1" xfId="5" applyFont="1" applyBorder="1" applyAlignment="1">
      <alignment horizontal="center"/>
    </xf>
    <xf numFmtId="164" fontId="21" fillId="0" borderId="1" xfId="1" applyNumberFormat="1" applyFont="1" applyBorder="1" applyAlignment="1">
      <alignment horizontal="right" vertical="top"/>
    </xf>
    <xf numFmtId="164" fontId="0" fillId="0" borderId="0" xfId="0" applyNumberFormat="1" applyAlignment="1">
      <alignment horizontal="right"/>
    </xf>
    <xf numFmtId="9" fontId="0" fillId="0" borderId="0" xfId="5" applyFont="1" applyAlignment="1">
      <alignment horizontal="center"/>
    </xf>
    <xf numFmtId="164" fontId="0" fillId="0" borderId="0" xfId="1" applyNumberFormat="1" applyFont="1" applyFill="1" applyAlignment="1">
      <alignment horizontal="right"/>
    </xf>
    <xf numFmtId="0" fontId="21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164" fontId="21" fillId="0" borderId="1" xfId="0" applyNumberFormat="1" applyFont="1" applyBorder="1"/>
    <xf numFmtId="164" fontId="0" fillId="0" borderId="0" xfId="1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164" fontId="2" fillId="0" borderId="0" xfId="1" applyNumberFormat="1" applyFont="1" applyAlignment="1">
      <alignment horizontal="right"/>
    </xf>
    <xf numFmtId="0" fontId="21" fillId="0" borderId="0" xfId="0" applyFont="1" applyAlignment="1">
      <alignment horizontal="right"/>
    </xf>
    <xf numFmtId="0" fontId="2" fillId="0" borderId="1" xfId="0" applyFont="1" applyBorder="1" applyAlignment="1">
      <alignment horizontal="left" indent="2"/>
    </xf>
    <xf numFmtId="170" fontId="0" fillId="0" borderId="1" xfId="1" applyNumberFormat="1" applyFont="1" applyBorder="1" applyAlignment="1">
      <alignment horizontal="right"/>
    </xf>
    <xf numFmtId="164" fontId="0" fillId="0" borderId="1" xfId="1" applyNumberFormat="1" applyFont="1" applyBorder="1" applyAlignment="1">
      <alignment horizontal="right"/>
    </xf>
    <xf numFmtId="0" fontId="0" fillId="0" borderId="1" xfId="0" applyBorder="1" applyAlignment="1">
      <alignment horizontal="right"/>
    </xf>
    <xf numFmtId="164" fontId="0" fillId="0" borderId="0" xfId="1" applyNumberFormat="1" applyFont="1" applyAlignment="1">
      <alignment horizontal="right" vertical="center"/>
    </xf>
    <xf numFmtId="9" fontId="0" fillId="0" borderId="1" xfId="5" applyFont="1" applyBorder="1" applyAlignment="1">
      <alignment horizontal="center"/>
    </xf>
    <xf numFmtId="0" fontId="0" fillId="0" borderId="0" xfId="0" applyFill="1"/>
    <xf numFmtId="164" fontId="0" fillId="0" borderId="0" xfId="0" applyNumberFormat="1" applyFill="1"/>
    <xf numFmtId="0" fontId="0" fillId="0" borderId="0" xfId="0" applyFill="1" applyAlignment="1">
      <alignment horizontal="right"/>
    </xf>
    <xf numFmtId="0" fontId="2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1" fillId="0" borderId="0" xfId="0" applyFont="1" applyFill="1" applyAlignment="1">
      <alignment horizontal="right" vertical="center"/>
    </xf>
    <xf numFmtId="0" fontId="2" fillId="0" borderId="0" xfId="0" applyFont="1" applyFill="1"/>
    <xf numFmtId="164" fontId="0" fillId="0" borderId="0" xfId="0" applyNumberFormat="1" applyFill="1" applyAlignment="1">
      <alignment horizontal="right"/>
    </xf>
    <xf numFmtId="164" fontId="2" fillId="0" borderId="0" xfId="1" applyNumberFormat="1" applyFont="1" applyFill="1"/>
    <xf numFmtId="164" fontId="21" fillId="0" borderId="0" xfId="0" applyNumberFormat="1" applyFont="1" applyFill="1"/>
    <xf numFmtId="164" fontId="21" fillId="0" borderId="0" xfId="0" applyNumberFormat="1" applyFont="1" applyFill="1" applyAlignment="1">
      <alignment horizontal="right"/>
    </xf>
    <xf numFmtId="0" fontId="2" fillId="0" borderId="0" xfId="0" applyFont="1" applyAlignment="1">
      <alignment horizontal="right"/>
    </xf>
    <xf numFmtId="0" fontId="21" fillId="0" borderId="0" xfId="0" applyFont="1" applyFill="1"/>
    <xf numFmtId="164" fontId="23" fillId="0" borderId="0" xfId="0" applyNumberFormat="1" applyFont="1" applyAlignment="1">
      <alignment horizontal="right"/>
    </xf>
    <xf numFmtId="2" fontId="10" fillId="0" borderId="1" xfId="0" applyNumberFormat="1" applyFont="1" applyBorder="1" applyAlignment="1">
      <alignment horizontal="left"/>
    </xf>
    <xf numFmtId="0" fontId="0" fillId="0" borderId="0" xfId="0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164" fontId="2" fillId="0" borderId="0" xfId="0" applyNumberFormat="1" applyFont="1" applyFill="1" applyAlignment="1">
      <alignment horizontal="right"/>
    </xf>
    <xf numFmtId="164" fontId="21" fillId="61" borderId="0" xfId="1" applyNumberFormat="1" applyFont="1" applyFill="1" applyAlignment="1">
      <alignment horizontal="center" vertical="center" wrapText="1"/>
    </xf>
    <xf numFmtId="173" fontId="21" fillId="0" borderId="0" xfId="0" applyNumberFormat="1" applyFont="1"/>
    <xf numFmtId="9" fontId="0" fillId="0" borderId="0" xfId="5" applyFont="1" applyAlignment="1">
      <alignment horizontal="right"/>
    </xf>
    <xf numFmtId="0" fontId="0" fillId="0" borderId="0" xfId="0" applyAlignment="1">
      <alignment horizontal="center"/>
    </xf>
    <xf numFmtId="165" fontId="10" fillId="0" borderId="0" xfId="0" applyNumberFormat="1" applyFont="1" applyFill="1"/>
    <xf numFmtId="3" fontId="7" fillId="0" borderId="0" xfId="0" applyNumberFormat="1" applyFont="1" applyFill="1"/>
    <xf numFmtId="0" fontId="7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wrapText="1"/>
    </xf>
    <xf numFmtId="0" fontId="5" fillId="0" borderId="0" xfId="0" applyFont="1" applyFill="1" applyAlignment="1">
      <alignment horizontal="center" vertical="top" wrapText="1"/>
    </xf>
    <xf numFmtId="0" fontId="29" fillId="0" borderId="0" xfId="0" applyFont="1" applyFill="1" applyAlignment="1">
      <alignment horizontal="center" vertical="top" wrapText="1"/>
    </xf>
    <xf numFmtId="0" fontId="6" fillId="0" borderId="0" xfId="0" applyFont="1" applyFill="1" applyAlignment="1">
      <alignment horizontal="right"/>
    </xf>
    <xf numFmtId="3" fontId="11" fillId="0" borderId="0" xfId="0" applyNumberFormat="1" applyFont="1" applyFill="1"/>
    <xf numFmtId="3" fontId="11" fillId="0" borderId="0" xfId="0" applyNumberFormat="1" applyFont="1" applyFill="1" applyBorder="1"/>
    <xf numFmtId="3" fontId="10" fillId="0" borderId="0" xfId="0" applyNumberFormat="1" applyFont="1" applyFill="1"/>
    <xf numFmtId="0" fontId="10" fillId="0" borderId="0" xfId="0" applyFont="1" applyFill="1"/>
    <xf numFmtId="0" fontId="11" fillId="0" borderId="0" xfId="0" applyFont="1" applyFill="1" applyAlignment="1">
      <alignment horizontal="right"/>
    </xf>
    <xf numFmtId="3" fontId="15" fillId="0" borderId="0" xfId="0" applyNumberFormat="1" applyFont="1" applyFill="1"/>
    <xf numFmtId="164" fontId="17" fillId="0" borderId="0" xfId="1" applyNumberFormat="1" applyFont="1" applyFill="1" applyBorder="1"/>
    <xf numFmtId="3" fontId="6" fillId="0" borderId="0" xfId="0" applyNumberFormat="1" applyFont="1" applyFill="1" applyAlignment="1">
      <alignment horizontal="right"/>
    </xf>
    <xf numFmtId="3" fontId="27" fillId="0" borderId="0" xfId="0" applyNumberFormat="1" applyFont="1" applyFill="1"/>
    <xf numFmtId="3" fontId="8" fillId="0" borderId="0" xfId="0" applyNumberFormat="1" applyFont="1" applyFill="1" applyBorder="1"/>
    <xf numFmtId="164" fontId="11" fillId="0" borderId="0" xfId="0" applyNumberFormat="1" applyFont="1" applyFill="1"/>
    <xf numFmtId="164" fontId="10" fillId="0" borderId="0" xfId="0" applyNumberFormat="1" applyFont="1" applyFill="1"/>
    <xf numFmtId="164" fontId="10" fillId="0" borderId="0" xfId="0" applyNumberFormat="1" applyFont="1" applyFill="1" applyBorder="1"/>
    <xf numFmtId="164" fontId="12" fillId="0" borderId="0" xfId="0" applyNumberFormat="1" applyFont="1" applyFill="1"/>
    <xf numFmtId="164" fontId="20" fillId="0" borderId="0" xfId="0" applyNumberFormat="1" applyFont="1" applyFill="1" applyAlignment="1">
      <alignment horizontal="right"/>
    </xf>
    <xf numFmtId="9" fontId="0" fillId="0" borderId="0" xfId="9" applyFont="1" applyFill="1"/>
    <xf numFmtId="3" fontId="7" fillId="0" borderId="0" xfId="0" applyNumberFormat="1" applyFont="1" applyFill="1" applyAlignment="1">
      <alignment horizontal="right"/>
    </xf>
    <xf numFmtId="3" fontId="11" fillId="0" borderId="1" xfId="0" applyNumberFormat="1" applyFont="1" applyFill="1" applyBorder="1"/>
    <xf numFmtId="164" fontId="11" fillId="0" borderId="1" xfId="1" applyNumberFormat="1" applyFont="1" applyFill="1" applyBorder="1"/>
    <xf numFmtId="0" fontId="26" fillId="8" borderId="0" xfId="0" applyFont="1" applyFill="1" applyAlignment="1">
      <alignment horizontal="left"/>
    </xf>
    <xf numFmtId="165" fontId="11" fillId="0" borderId="1" xfId="0" applyNumberFormat="1" applyFont="1" applyFill="1" applyBorder="1"/>
    <xf numFmtId="3" fontId="8" fillId="0" borderId="1" xfId="0" applyNumberFormat="1" applyFont="1" applyFill="1" applyBorder="1"/>
    <xf numFmtId="165" fontId="11" fillId="11" borderId="0" xfId="0" applyNumberFormat="1" applyFont="1" applyFill="1" applyBorder="1"/>
    <xf numFmtId="165" fontId="11" fillId="59" borderId="0" xfId="0" applyNumberFormat="1" applyFont="1" applyFill="1" applyBorder="1"/>
    <xf numFmtId="165" fontId="11" fillId="9" borderId="0" xfId="0" applyNumberFormat="1" applyFont="1" applyFill="1" applyBorder="1"/>
    <xf numFmtId="165" fontId="11" fillId="62" borderId="0" xfId="0" applyNumberFormat="1" applyFont="1" applyFill="1" applyBorder="1"/>
    <xf numFmtId="164" fontId="8" fillId="0" borderId="0" xfId="1" applyNumberFormat="1" applyFont="1" applyFill="1" applyBorder="1"/>
    <xf numFmtId="0" fontId="10" fillId="0" borderId="0" xfId="0" applyFont="1" applyFill="1" applyAlignment="1">
      <alignment horizontal="right"/>
    </xf>
    <xf numFmtId="0" fontId="11" fillId="0" borderId="0" xfId="0" applyFont="1" applyFill="1"/>
    <xf numFmtId="1" fontId="11" fillId="0" borderId="1" xfId="0" applyNumberFormat="1" applyFont="1" applyBorder="1"/>
    <xf numFmtId="164" fontId="11" fillId="13" borderId="1" xfId="1" applyNumberFormat="1" applyFont="1" applyFill="1" applyBorder="1"/>
    <xf numFmtId="164" fontId="7" fillId="0" borderId="0" xfId="1" applyNumberFormat="1" applyFont="1" applyFill="1" applyBorder="1"/>
    <xf numFmtId="0" fontId="84" fillId="0" borderId="0" xfId="0" applyFont="1" applyFill="1" applyAlignment="1">
      <alignment horizontal="center" vertical="center" wrapText="1"/>
    </xf>
    <xf numFmtId="0" fontId="85" fillId="0" borderId="0" xfId="0" applyFont="1" applyFill="1" applyAlignment="1">
      <alignment horizontal="center" wrapText="1"/>
    </xf>
    <xf numFmtId="0" fontId="87" fillId="11" borderId="0" xfId="0" applyFont="1" applyFill="1" applyAlignment="1">
      <alignment horizontal="right"/>
    </xf>
    <xf numFmtId="0" fontId="87" fillId="11" borderId="0" xfId="0" applyFont="1" applyFill="1" applyAlignment="1">
      <alignment horizontal="center" wrapText="1"/>
    </xf>
    <xf numFmtId="3" fontId="14" fillId="6" borderId="0" xfId="0" applyNumberFormat="1" applyFont="1" applyFill="1"/>
    <xf numFmtId="164" fontId="14" fillId="0" borderId="1" xfId="1" applyNumberFormat="1" applyFont="1" applyFill="1" applyBorder="1"/>
    <xf numFmtId="0" fontId="88" fillId="0" borderId="0" xfId="0" applyFont="1" applyFill="1"/>
    <xf numFmtId="164" fontId="13" fillId="0" borderId="0" xfId="1" applyNumberFormat="1" applyFont="1" applyFill="1"/>
    <xf numFmtId="164" fontId="13" fillId="0" borderId="0" xfId="1" applyNumberFormat="1" applyFont="1" applyFill="1" applyBorder="1"/>
    <xf numFmtId="3" fontId="13" fillId="0" borderId="0" xfId="0" applyNumberFormat="1" applyFont="1" applyFill="1"/>
    <xf numFmtId="3" fontId="14" fillId="3" borderId="0" xfId="0" applyNumberFormat="1" applyFont="1" applyFill="1"/>
    <xf numFmtId="3" fontId="14" fillId="0" borderId="1" xfId="0" applyNumberFormat="1" applyFont="1" applyFill="1" applyBorder="1"/>
    <xf numFmtId="3" fontId="14" fillId="0" borderId="0" xfId="0" applyNumberFormat="1" applyFont="1" applyFill="1"/>
    <xf numFmtId="0" fontId="14" fillId="0" borderId="0" xfId="0" applyFont="1" applyFill="1" applyAlignment="1">
      <alignment horizontal="right"/>
    </xf>
    <xf numFmtId="164" fontId="14" fillId="8" borderId="0" xfId="1" applyNumberFormat="1" applyFont="1" applyFill="1"/>
    <xf numFmtId="3" fontId="14" fillId="0" borderId="1" xfId="0" applyNumberFormat="1" applyFont="1" applyBorder="1"/>
    <xf numFmtId="164" fontId="13" fillId="0" borderId="0" xfId="1" applyNumberFormat="1" applyFont="1" applyFill="1" applyAlignment="1">
      <alignment horizontal="right"/>
    </xf>
    <xf numFmtId="164" fontId="85" fillId="0" borderId="0" xfId="1" applyNumberFormat="1" applyFont="1" applyFill="1" applyBorder="1"/>
    <xf numFmtId="3" fontId="87" fillId="11" borderId="0" xfId="0" applyNumberFormat="1" applyFont="1" applyFill="1" applyAlignment="1">
      <alignment horizontal="right"/>
    </xf>
    <xf numFmtId="165" fontId="14" fillId="62" borderId="0" xfId="0" applyNumberFormat="1" applyFont="1" applyFill="1" applyBorder="1"/>
    <xf numFmtId="3" fontId="14" fillId="5" borderId="0" xfId="0" applyNumberFormat="1" applyFont="1" applyFill="1"/>
    <xf numFmtId="3" fontId="13" fillId="0" borderId="0" xfId="0" applyNumberFormat="1" applyFont="1" applyFill="1" applyAlignment="1">
      <alignment horizontal="right"/>
    </xf>
    <xf numFmtId="0" fontId="13" fillId="0" borderId="0" xfId="0" applyFont="1" applyFill="1"/>
    <xf numFmtId="3" fontId="14" fillId="9" borderId="0" xfId="0" applyNumberFormat="1" applyFont="1" applyFill="1"/>
    <xf numFmtId="3" fontId="14" fillId="4" borderId="0" xfId="0" applyNumberFormat="1" applyFont="1" applyFill="1"/>
    <xf numFmtId="3" fontId="14" fillId="10" borderId="0" xfId="0" applyNumberFormat="1" applyFont="1" applyFill="1"/>
    <xf numFmtId="3" fontId="89" fillId="0" borderId="0" xfId="0" applyNumberFormat="1" applyFont="1" applyFill="1"/>
    <xf numFmtId="164" fontId="14" fillId="0" borderId="0" xfId="0" applyNumberFormat="1" applyFont="1"/>
    <xf numFmtId="0" fontId="86" fillId="0" borderId="0" xfId="0" applyFont="1" applyFill="1" applyAlignment="1">
      <alignment horizontal="center" vertical="center" wrapText="1"/>
    </xf>
    <xf numFmtId="164" fontId="13" fillId="0" borderId="0" xfId="0" applyNumberFormat="1" applyFont="1"/>
    <xf numFmtId="164" fontId="13" fillId="0" borderId="0" xfId="0" applyNumberFormat="1" applyFont="1" applyFill="1"/>
    <xf numFmtId="164" fontId="13" fillId="0" borderId="0" xfId="0" applyNumberFormat="1" applyFont="1" applyFill="1" applyBorder="1"/>
    <xf numFmtId="164" fontId="13" fillId="0" borderId="1" xfId="0" applyNumberFormat="1" applyFont="1" applyBorder="1"/>
    <xf numFmtId="164" fontId="86" fillId="0" borderId="0" xfId="0" applyNumberFormat="1" applyFont="1" applyFill="1"/>
    <xf numFmtId="164" fontId="90" fillId="0" borderId="0" xfId="0" applyNumberFormat="1" applyFont="1" applyFill="1" applyAlignment="1">
      <alignment horizontal="right"/>
    </xf>
    <xf numFmtId="9" fontId="88" fillId="0" borderId="0" xfId="9" applyFont="1" applyFill="1"/>
    <xf numFmtId="164" fontId="88" fillId="0" borderId="0" xfId="0" applyNumberFormat="1" applyFont="1" applyFill="1"/>
    <xf numFmtId="164" fontId="12" fillId="9" borderId="0" xfId="0" applyNumberFormat="1" applyFont="1" applyFill="1"/>
    <xf numFmtId="9" fontId="18" fillId="0" borderId="0" xfId="9" applyFont="1"/>
    <xf numFmtId="3" fontId="10" fillId="0" borderId="78" xfId="0" applyNumberFormat="1" applyFont="1" applyBorder="1"/>
    <xf numFmtId="0" fontId="10" fillId="0" borderId="45" xfId="0" applyFont="1" applyBorder="1"/>
    <xf numFmtId="0" fontId="10" fillId="0" borderId="45" xfId="0" applyFont="1" applyBorder="1" applyAlignment="1">
      <alignment horizontal="left" indent="4"/>
    </xf>
    <xf numFmtId="3" fontId="10" fillId="0" borderId="45" xfId="0" applyNumberFormat="1" applyFont="1" applyBorder="1"/>
    <xf numFmtId="165" fontId="10" fillId="0" borderId="45" xfId="0" applyNumberFormat="1" applyFont="1" applyBorder="1"/>
    <xf numFmtId="3" fontId="13" fillId="0" borderId="45" xfId="0" applyNumberFormat="1" applyFont="1" applyFill="1" applyBorder="1"/>
    <xf numFmtId="0" fontId="15" fillId="0" borderId="45" xfId="0" applyFont="1" applyBorder="1" applyAlignment="1">
      <alignment horizontal="left" indent="4"/>
    </xf>
    <xf numFmtId="0" fontId="10" fillId="0" borderId="45" xfId="0" applyFont="1" applyBorder="1" applyAlignment="1">
      <alignment horizontal="center"/>
    </xf>
    <xf numFmtId="0" fontId="10" fillId="0" borderId="45" xfId="0" applyFont="1" applyBorder="1" applyAlignment="1">
      <alignment horizontal="right"/>
    </xf>
    <xf numFmtId="164" fontId="10" fillId="0" borderId="45" xfId="1" applyNumberFormat="1" applyFont="1" applyBorder="1"/>
    <xf numFmtId="164" fontId="85" fillId="0" borderId="45" xfId="1" applyNumberFormat="1" applyFont="1" applyFill="1" applyBorder="1"/>
    <xf numFmtId="3" fontId="41" fillId="0" borderId="0" xfId="0" applyNumberFormat="1" applyFont="1"/>
    <xf numFmtId="0" fontId="12" fillId="0" borderId="0" xfId="0" applyFont="1" applyBorder="1" applyAlignment="1">
      <alignment horizontal="left"/>
    </xf>
    <xf numFmtId="3" fontId="40" fillId="0" borderId="0" xfId="0" applyNumberFormat="1" applyFont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top" wrapText="1"/>
    </xf>
    <xf numFmtId="0" fontId="5" fillId="7" borderId="0" xfId="0" applyFont="1" applyFill="1" applyAlignment="1">
      <alignment horizontal="center" vertical="top" wrapText="1"/>
    </xf>
    <xf numFmtId="0" fontId="13" fillId="1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11" borderId="0" xfId="0" applyFont="1" applyFill="1" applyAlignment="1">
      <alignment horizontal="center" wrapText="1"/>
    </xf>
    <xf numFmtId="0" fontId="5" fillId="11" borderId="0" xfId="0" applyFont="1" applyFill="1" applyAlignment="1">
      <alignment horizontal="center" vertical="top" wrapText="1"/>
    </xf>
    <xf numFmtId="0" fontId="29" fillId="11" borderId="0" xfId="0" applyFont="1" applyFill="1" applyAlignment="1">
      <alignment horizontal="center" vertical="top" wrapText="1"/>
    </xf>
    <xf numFmtId="0" fontId="91" fillId="11" borderId="0" xfId="0" applyFont="1" applyFill="1" applyAlignment="1">
      <alignment horizontal="center" vertical="top" wrapText="1"/>
    </xf>
    <xf numFmtId="0" fontId="86" fillId="11" borderId="0" xfId="0" applyFont="1" applyFill="1" applyAlignment="1">
      <alignment horizontal="center" vertical="top" wrapText="1"/>
    </xf>
    <xf numFmtId="0" fontId="29" fillId="11" borderId="78" xfId="0" applyFont="1" applyFill="1" applyBorder="1" applyAlignment="1">
      <alignment horizontal="center" vertical="top" wrapText="1"/>
    </xf>
    <xf numFmtId="0" fontId="5" fillId="11" borderId="4" xfId="0" applyFont="1" applyFill="1" applyBorder="1" applyAlignment="1">
      <alignment horizontal="center" vertical="center" wrapText="1"/>
    </xf>
    <xf numFmtId="0" fontId="91" fillId="11" borderId="78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9" fontId="6" fillId="11" borderId="0" xfId="0" applyNumberFormat="1" applyFont="1" applyFill="1" applyAlignment="1">
      <alignment horizont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top" wrapText="1"/>
    </xf>
    <xf numFmtId="0" fontId="21" fillId="61" borderId="0" xfId="0" applyFont="1" applyFill="1" applyAlignment="1">
      <alignment horizontal="center" vertical="center"/>
    </xf>
    <xf numFmtId="0" fontId="45" fillId="0" borderId="7" xfId="0" applyFont="1" applyBorder="1" applyAlignment="1">
      <alignment horizontal="left" vertical="center"/>
    </xf>
    <xf numFmtId="0" fontId="45" fillId="0" borderId="8" xfId="0" applyFont="1" applyBorder="1" applyAlignment="1">
      <alignment horizontal="left" vertical="center"/>
    </xf>
    <xf numFmtId="0" fontId="45" fillId="0" borderId="9" xfId="0" applyFont="1" applyBorder="1" applyAlignment="1">
      <alignment horizontal="left" vertical="center"/>
    </xf>
    <xf numFmtId="0" fontId="48" fillId="0" borderId="7" xfId="0" applyFont="1" applyBorder="1" applyAlignment="1">
      <alignment horizontal="left" vertical="center"/>
    </xf>
    <xf numFmtId="0" fontId="48" fillId="0" borderId="8" xfId="0" applyFont="1" applyBorder="1" applyAlignment="1">
      <alignment horizontal="left" vertical="center"/>
    </xf>
    <xf numFmtId="0" fontId="48" fillId="0" borderId="9" xfId="0" applyFont="1" applyBorder="1" applyAlignment="1">
      <alignment horizontal="left" vertical="center"/>
    </xf>
    <xf numFmtId="0" fontId="36" fillId="14" borderId="57" xfId="0" applyFont="1" applyFill="1" applyBorder="1" applyAlignment="1">
      <alignment horizontal="right" vertical="center" indent="1"/>
    </xf>
    <xf numFmtId="0" fontId="36" fillId="14" borderId="58" xfId="0" applyFont="1" applyFill="1" applyBorder="1" applyAlignment="1">
      <alignment horizontal="right" vertical="center" indent="1"/>
    </xf>
    <xf numFmtId="0" fontId="36" fillId="14" borderId="60" xfId="0" applyFont="1" applyFill="1" applyBorder="1" applyAlignment="1">
      <alignment horizontal="right" vertical="center" indent="1"/>
    </xf>
    <xf numFmtId="0" fontId="36" fillId="14" borderId="65" xfId="0" applyFont="1" applyFill="1" applyBorder="1" applyAlignment="1">
      <alignment horizontal="right" vertical="center" indent="1"/>
    </xf>
    <xf numFmtId="0" fontId="36" fillId="14" borderId="45" xfId="0" applyFont="1" applyFill="1" applyBorder="1" applyAlignment="1">
      <alignment horizontal="right" vertical="center" indent="1"/>
    </xf>
    <xf numFmtId="0" fontId="36" fillId="14" borderId="66" xfId="0" applyFont="1" applyFill="1" applyBorder="1" applyAlignment="1">
      <alignment horizontal="right" vertical="center" indent="1"/>
    </xf>
    <xf numFmtId="0" fontId="61" fillId="30" borderId="8" xfId="0" applyFont="1" applyFill="1" applyBorder="1" applyAlignment="1">
      <alignment horizontal="center" vertical="center"/>
    </xf>
    <xf numFmtId="0" fontId="77" fillId="0" borderId="0" xfId="0" applyFont="1" applyAlignment="1">
      <alignment horizontal="center" vertical="center" textRotation="90" wrapText="1"/>
    </xf>
    <xf numFmtId="0" fontId="77" fillId="0" borderId="0" xfId="0" applyFont="1" applyAlignment="1">
      <alignment horizontal="center" vertical="center" textRotation="90"/>
    </xf>
    <xf numFmtId="0" fontId="77" fillId="0" borderId="0" xfId="0" applyFont="1" applyAlignment="1">
      <alignment horizontal="center" vertical="center" wrapText="1"/>
    </xf>
    <xf numFmtId="0" fontId="77" fillId="0" borderId="0" xfId="0" applyFont="1" applyAlignment="1">
      <alignment horizontal="center" vertical="center"/>
    </xf>
    <xf numFmtId="0" fontId="45" fillId="30" borderId="8" xfId="0" applyFont="1" applyFill="1" applyBorder="1" applyAlignment="1">
      <alignment horizontal="left" vertical="center" indent="2"/>
    </xf>
    <xf numFmtId="0" fontId="0" fillId="0" borderId="8" xfId="0" applyBorder="1" applyAlignment="1">
      <alignment horizontal="left" vertical="center" indent="2"/>
    </xf>
    <xf numFmtId="0" fontId="45" fillId="30" borderId="8" xfId="0" applyFont="1" applyFill="1" applyBorder="1" applyAlignment="1">
      <alignment horizontal="center" vertical="center"/>
    </xf>
    <xf numFmtId="0" fontId="67" fillId="30" borderId="69" xfId="0" applyFont="1" applyFill="1" applyBorder="1"/>
    <xf numFmtId="0" fontId="0" fillId="0" borderId="69" xfId="0" applyBorder="1"/>
    <xf numFmtId="0" fontId="10" fillId="63" borderId="0" xfId="0" applyFont="1" applyFill="1" applyAlignment="1">
      <alignment horizontal="left" indent="4"/>
    </xf>
  </cellXfs>
  <cellStyles count="10">
    <cellStyle name="Comma" xfId="1" builtinId="3"/>
    <cellStyle name="Comma 2" xfId="7" xr:uid="{3ED7C8C1-FBEA-4D79-B90F-F199BCC041B9}"/>
    <cellStyle name="Currency 2" xfId="4" xr:uid="{71CA46F2-25EC-4E61-ACA3-669FE40B2DE7}"/>
    <cellStyle name="Currency 3" xfId="8" xr:uid="{CFC0E0CC-C29C-4C05-B9F8-FE1D786E853D}"/>
    <cellStyle name="Normal" xfId="0" builtinId="0"/>
    <cellStyle name="Normal 2" xfId="2" xr:uid="{435F123C-A243-4D7B-A420-752DBFB2D608}"/>
    <cellStyle name="Normal 3" xfId="3" xr:uid="{4FA3D459-F6D6-4765-B8AF-FEC95C924AB7}"/>
    <cellStyle name="Normal 4" xfId="6" xr:uid="{3770BB85-F594-4A21-B38B-748E555F9171}"/>
    <cellStyle name="Percent" xfId="9" builtinId="5"/>
    <cellStyle name="Percent 2" xfId="5" xr:uid="{5B738B09-9324-405B-9014-B266D9043BE9}"/>
  </cellStyles>
  <dxfs count="4">
    <dxf>
      <fill>
        <patternFill>
          <bgColor rgb="FFF4C756"/>
        </patternFill>
      </fill>
    </dxf>
    <dxf>
      <fill>
        <patternFill>
          <bgColor rgb="FFF4C756"/>
        </patternFill>
      </fill>
    </dxf>
    <dxf>
      <fill>
        <patternFill>
          <bgColor rgb="FFF4C756"/>
        </patternFill>
      </fill>
    </dxf>
    <dxf>
      <fill>
        <patternFill>
          <bgColor rgb="FFF4C756"/>
        </patternFill>
      </fill>
    </dxf>
  </dxfs>
  <tableStyles count="0" defaultTableStyle="TableStyleMedium9" defaultPivotStyle="PivotStyleLight16"/>
  <colors>
    <mruColors>
      <color rgb="FFFCF19C"/>
      <color rgb="FFDBD6EA"/>
      <color rgb="FFEEECE1"/>
      <color rgb="FFE7E4F4"/>
      <color rgb="FF9E94D3"/>
      <color rgb="FFDCD5C2"/>
      <color rgb="FFF5C859"/>
      <color rgb="FFFCE4D6"/>
      <color rgb="FFBECA8C"/>
      <color rgb="FFDDD9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79</xdr:row>
      <xdr:rowOff>0</xdr:rowOff>
    </xdr:from>
    <xdr:to>
      <xdr:col>13</xdr:col>
      <xdr:colOff>358836</xdr:colOff>
      <xdr:row>131</xdr:row>
      <xdr:rowOff>95728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43F1F9-EE35-46E6-80B4-0B670915D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32820"/>
          <a:ext cx="13013479" cy="88091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13</xdr:col>
      <xdr:colOff>378418</xdr:colOff>
      <xdr:row>183</xdr:row>
      <xdr:rowOff>55032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AF12FB-4232-4D61-A47D-CDA4CCB50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85380"/>
          <a:ext cx="13019726" cy="84294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184</xdr:row>
      <xdr:rowOff>13608</xdr:rowOff>
    </xdr:from>
    <xdr:to>
      <xdr:col>13</xdr:col>
      <xdr:colOff>355557</xdr:colOff>
      <xdr:row>234</xdr:row>
      <xdr:rowOff>53395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0FF606-5106-41B6-A501-2BF96A7D4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8748628"/>
          <a:ext cx="13010200" cy="84103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235</xdr:row>
      <xdr:rowOff>0</xdr:rowOff>
    </xdr:from>
    <xdr:to>
      <xdr:col>13</xdr:col>
      <xdr:colOff>355557</xdr:colOff>
      <xdr:row>285</xdr:row>
      <xdr:rowOff>22643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EC582B-C0DC-4143-84F8-CCEB74F6D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7284660"/>
          <a:ext cx="13010200" cy="84008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286</xdr:row>
      <xdr:rowOff>0</xdr:rowOff>
    </xdr:from>
    <xdr:to>
      <xdr:col>13</xdr:col>
      <xdr:colOff>340314</xdr:colOff>
      <xdr:row>336</xdr:row>
      <xdr:rowOff>19519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8FE4092-7B4B-48D6-BE80-5172C8C9F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5834300"/>
          <a:ext cx="12991147" cy="83881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336</xdr:row>
      <xdr:rowOff>0</xdr:rowOff>
    </xdr:from>
    <xdr:to>
      <xdr:col>13</xdr:col>
      <xdr:colOff>393662</xdr:colOff>
      <xdr:row>386</xdr:row>
      <xdr:rowOff>18832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F8D70C-9300-42FE-A2FE-31D8C9AA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4216300"/>
          <a:ext cx="13048305" cy="8410358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</xdr:colOff>
      <xdr:row>387</xdr:row>
      <xdr:rowOff>68036</xdr:rowOff>
    </xdr:from>
    <xdr:to>
      <xdr:col>13</xdr:col>
      <xdr:colOff>339492</xdr:colOff>
      <xdr:row>437</xdr:row>
      <xdr:rowOff>54476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383720-BA49-4A33-8FA4-E7FFCDFCA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428" y="62833976"/>
          <a:ext cx="12953042" cy="8372252"/>
        </a:xfrm>
        <a:prstGeom prst="rect">
          <a:avLst/>
        </a:prstGeom>
      </xdr:spPr>
    </xdr:pic>
    <xdr:clientData/>
  </xdr:twoCellAnchor>
  <xdr:twoCellAnchor editAs="oneCell">
    <xdr:from>
      <xdr:col>17</xdr:col>
      <xdr:colOff>659872</xdr:colOff>
      <xdr:row>4</xdr:row>
      <xdr:rowOff>163925</xdr:rowOff>
    </xdr:from>
    <xdr:to>
      <xdr:col>37</xdr:col>
      <xdr:colOff>184989</xdr:colOff>
      <xdr:row>41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581B28C-157B-9A7B-8B2C-F4CA7FAB1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573301" y="817068"/>
          <a:ext cx="11891288" cy="62259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neadarch.sharepoint.com/sites/2151-NYULHLongIslandHospitalSiteStudy/Shared%20Documents/EA-EC%20Hospital%20Programming%20and%20Planning/2025-09-02%20Program%20and%20Cost%20Comparison_Current%20to%20EC.xlsx" TargetMode="External"/><Relationship Id="rId1" Type="http://schemas.openxmlformats.org/officeDocument/2006/relationships/externalLinkPath" Target="https://enneadarch.sharepoint.com/sites/2151-NYULHLongIslandHospitalSiteStudy/Shared%20Documents/EA-EC%20Hospital%20Programming%20and%20Planning/2025-09-02%20Program%20and%20Cost%20Comparison_Current%20to%20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spital Program Comparison"/>
      <sheetName val="OR &amp; Procedure - Chunks"/>
    </sheetNames>
    <sheetDataSet>
      <sheetData sheetId="0">
        <row r="14">
          <cell r="P14">
            <v>23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8A132-C75E-4BB0-8893-CEC209473C8B}">
  <dimension ref="B2:S93"/>
  <sheetViews>
    <sheetView workbookViewId="0"/>
  </sheetViews>
  <sheetFormatPr defaultColWidth="9.33203125" defaultRowHeight="13.8"/>
  <cols>
    <col min="1" max="1" width="9.33203125" style="226"/>
    <col min="2" max="2" width="4.6640625" style="226" customWidth="1"/>
    <col min="3" max="3" width="9.6640625" style="226" customWidth="1"/>
    <col min="4" max="4" width="28.6640625" style="226" customWidth="1"/>
    <col min="5" max="5" width="10.6640625" style="227" customWidth="1"/>
    <col min="6" max="6" width="3.6640625" style="226" customWidth="1"/>
    <col min="7" max="7" width="23.6640625" style="227" customWidth="1"/>
    <col min="8" max="8" width="3.6640625" style="226" customWidth="1"/>
    <col min="9" max="9" width="20.6640625" style="228" customWidth="1"/>
    <col min="10" max="10" width="4.33203125" style="226" customWidth="1"/>
    <col min="11" max="15" width="9.33203125" style="226"/>
    <col min="16" max="16" width="18.6640625" style="228" customWidth="1"/>
    <col min="17" max="18" width="3.33203125" style="226" customWidth="1"/>
    <col min="19" max="19" width="18.6640625" style="274" customWidth="1"/>
    <col min="20" max="16384" width="9.33203125" style="226"/>
  </cols>
  <sheetData>
    <row r="2" spans="2:19" ht="21">
      <c r="B2" s="1008" t="s">
        <v>462</v>
      </c>
      <c r="C2" s="1009"/>
      <c r="D2" s="1009"/>
    </row>
    <row r="3" spans="2:19">
      <c r="B3" s="151"/>
    </row>
    <row r="4" spans="2:19" ht="22.2">
      <c r="B4" s="258" t="s">
        <v>100</v>
      </c>
    </row>
    <row r="5" spans="2:19" ht="20.399999999999999">
      <c r="B5" s="257"/>
    </row>
    <row r="6" spans="2:19" ht="15">
      <c r="E6" s="254" t="s">
        <v>84</v>
      </c>
      <c r="F6" s="255"/>
      <c r="G6" s="254" t="s">
        <v>54</v>
      </c>
      <c r="H6" s="255"/>
      <c r="I6" s="256" t="s">
        <v>53</v>
      </c>
      <c r="K6" s="226" t="s">
        <v>101</v>
      </c>
    </row>
    <row r="7" spans="2:19">
      <c r="E7" s="228"/>
      <c r="G7" s="228"/>
    </row>
    <row r="8" spans="2:19" ht="20.399999999999999">
      <c r="B8" s="235" t="s">
        <v>97</v>
      </c>
      <c r="C8" s="231"/>
      <c r="D8" s="231"/>
      <c r="E8" s="232"/>
      <c r="F8" s="231"/>
      <c r="G8" s="232"/>
      <c r="H8" s="231"/>
      <c r="I8" s="232"/>
      <c r="J8" s="231"/>
      <c r="K8" s="231"/>
      <c r="L8" s="231"/>
      <c r="M8" s="231"/>
      <c r="N8" s="231"/>
      <c r="O8" s="231"/>
      <c r="P8" s="290" t="s">
        <v>2</v>
      </c>
      <c r="Q8" s="231"/>
      <c r="R8" s="263"/>
      <c r="S8" s="291" t="s">
        <v>41</v>
      </c>
    </row>
    <row r="9" spans="2:19">
      <c r="E9" s="228"/>
      <c r="G9" s="228"/>
      <c r="P9" s="274"/>
      <c r="R9" s="262"/>
    </row>
    <row r="10" spans="2:19">
      <c r="B10" s="236" t="s">
        <v>81</v>
      </c>
      <c r="C10" s="236"/>
      <c r="D10" s="236"/>
      <c r="E10" s="237"/>
      <c r="F10" s="236"/>
      <c r="G10" s="237">
        <f>'Hospital Program TARGET_DESIGN'!M182</f>
        <v>0</v>
      </c>
      <c r="H10" s="236"/>
      <c r="I10" s="237">
        <f>'Hospital Program TARGET_DESIGN'!M183</f>
        <v>1751415</v>
      </c>
      <c r="K10" s="229"/>
      <c r="P10" s="275">
        <v>2300000</v>
      </c>
      <c r="Q10" s="236"/>
      <c r="R10" s="268"/>
      <c r="S10" s="275">
        <f>I10-P10</f>
        <v>-548585</v>
      </c>
    </row>
    <row r="11" spans="2:19">
      <c r="C11" s="229" t="s">
        <v>24</v>
      </c>
      <c r="E11" s="228">
        <f>'Hospital Program TARGET_DESIGN'!K56</f>
        <v>568</v>
      </c>
      <c r="G11" s="228"/>
      <c r="P11" s="274"/>
      <c r="R11" s="262"/>
    </row>
    <row r="12" spans="2:19">
      <c r="C12" s="229" t="s">
        <v>76</v>
      </c>
      <c r="E12" s="228">
        <f>'Hospital Program TARGET_DESIGN'!K15</f>
        <v>23</v>
      </c>
      <c r="G12" s="228"/>
      <c r="P12" s="274"/>
      <c r="R12" s="262"/>
    </row>
    <row r="13" spans="2:19">
      <c r="C13" s="229" t="s">
        <v>74</v>
      </c>
      <c r="E13" s="228">
        <f>'Hospital Program TARGET_DESIGN'!K28+'Hospital Program TARGET_DESIGN'!K36</f>
        <v>22</v>
      </c>
      <c r="G13" s="228"/>
      <c r="P13" s="274"/>
      <c r="R13" s="262"/>
    </row>
    <row r="14" spans="2:19">
      <c r="C14" s="229" t="s">
        <v>75</v>
      </c>
      <c r="E14" s="228">
        <f>'Hospital Program TARGET_DESIGN'!K8</f>
        <v>73</v>
      </c>
      <c r="G14" s="228"/>
      <c r="P14" s="274"/>
      <c r="R14" s="262"/>
    </row>
    <row r="15" spans="2:19">
      <c r="E15" s="228"/>
      <c r="G15" s="228"/>
      <c r="P15" s="274"/>
      <c r="R15" s="262"/>
    </row>
    <row r="16" spans="2:19">
      <c r="B16" s="238" t="s">
        <v>83</v>
      </c>
      <c r="C16" s="238"/>
      <c r="D16" s="238"/>
      <c r="E16" s="239"/>
      <c r="F16" s="238"/>
      <c r="G16" s="239"/>
      <c r="H16" s="238"/>
      <c r="I16" s="239">
        <v>100000</v>
      </c>
      <c r="P16" s="276">
        <v>180000</v>
      </c>
      <c r="Q16" s="238"/>
      <c r="R16" s="273"/>
      <c r="S16" s="276">
        <f>I16-P16</f>
        <v>-80000</v>
      </c>
    </row>
    <row r="17" spans="2:19">
      <c r="B17" s="231"/>
      <c r="C17" s="231"/>
      <c r="D17" s="231"/>
      <c r="E17" s="232"/>
      <c r="F17" s="231"/>
      <c r="G17" s="232"/>
      <c r="H17" s="231"/>
      <c r="I17" s="232"/>
      <c r="P17" s="277"/>
      <c r="Q17" s="231"/>
      <c r="R17" s="263"/>
      <c r="S17" s="277"/>
    </row>
    <row r="18" spans="2:19" ht="17.399999999999999">
      <c r="B18" s="252"/>
      <c r="C18" s="252"/>
      <c r="D18" s="252" t="s">
        <v>96</v>
      </c>
      <c r="E18" s="253"/>
      <c r="F18" s="252"/>
      <c r="G18" s="253"/>
      <c r="H18" s="252"/>
      <c r="I18" s="253">
        <f>SUM(I10:I17)</f>
        <v>1851415</v>
      </c>
      <c r="P18" s="278">
        <f>SUM(P10:P17)</f>
        <v>2480000</v>
      </c>
      <c r="Q18" s="261"/>
      <c r="R18" s="264"/>
      <c r="S18" s="278">
        <f>SUM(S10:S17)</f>
        <v>-628585</v>
      </c>
    </row>
    <row r="19" spans="2:19">
      <c r="E19" s="228"/>
      <c r="G19" s="228"/>
      <c r="P19" s="274"/>
      <c r="R19" s="262"/>
    </row>
    <row r="20" spans="2:19">
      <c r="E20" s="228"/>
      <c r="G20" s="228"/>
      <c r="P20" s="274"/>
      <c r="R20" s="262"/>
    </row>
    <row r="21" spans="2:19" s="229" customFormat="1">
      <c r="B21" s="248" t="s">
        <v>93</v>
      </c>
      <c r="C21" s="249"/>
      <c r="D21" s="249"/>
      <c r="E21" s="250">
        <v>2498</v>
      </c>
      <c r="F21" s="249"/>
      <c r="G21" s="251"/>
      <c r="H21" s="249"/>
      <c r="I21" s="250">
        <f>E21*350</f>
        <v>874300</v>
      </c>
      <c r="K21" s="229" t="s">
        <v>99</v>
      </c>
      <c r="P21" s="289">
        <v>1200000</v>
      </c>
      <c r="Q21" s="249"/>
      <c r="R21" s="287"/>
      <c r="S21" s="289">
        <f>I21-P21</f>
        <v>-325700</v>
      </c>
    </row>
    <row r="22" spans="2:19">
      <c r="E22" s="228"/>
      <c r="G22" s="228"/>
      <c r="P22" s="274"/>
      <c r="R22" s="262"/>
    </row>
    <row r="23" spans="2:19" ht="17.399999999999999">
      <c r="B23" s="252"/>
      <c r="C23" s="252"/>
      <c r="D23" s="252" t="s">
        <v>260</v>
      </c>
      <c r="E23" s="253">
        <f>SUM(E17:E22)</f>
        <v>2498</v>
      </c>
      <c r="F23" s="252"/>
      <c r="G23" s="253"/>
      <c r="H23" s="252"/>
      <c r="I23" s="253">
        <f>SUM(I21:I22)</f>
        <v>874300</v>
      </c>
      <c r="P23" s="253">
        <f>SUM(P21:P22)</f>
        <v>1200000</v>
      </c>
      <c r="Q23" s="261"/>
      <c r="R23" s="264"/>
      <c r="S23" s="278">
        <f>I23-P23</f>
        <v>-325700</v>
      </c>
    </row>
    <row r="24" spans="2:19">
      <c r="E24" s="228"/>
      <c r="G24" s="228"/>
      <c r="P24" s="274"/>
      <c r="R24" s="262"/>
    </row>
    <row r="25" spans="2:19">
      <c r="E25" s="228"/>
      <c r="G25" s="228"/>
      <c r="P25" s="274"/>
      <c r="R25" s="262"/>
    </row>
    <row r="26" spans="2:19" ht="20.399999999999999">
      <c r="B26" s="235" t="s">
        <v>98</v>
      </c>
      <c r="C26" s="231"/>
      <c r="D26" s="231"/>
      <c r="E26" s="232"/>
      <c r="F26" s="231"/>
      <c r="G26" s="232"/>
      <c r="H26" s="231"/>
      <c r="I26" s="232"/>
      <c r="J26" s="231"/>
      <c r="K26" s="231"/>
      <c r="L26" s="231"/>
      <c r="M26" s="231"/>
      <c r="N26" s="231"/>
      <c r="O26" s="231"/>
      <c r="P26" s="277"/>
      <c r="Q26" s="231"/>
      <c r="R26" s="263"/>
      <c r="S26" s="277"/>
    </row>
    <row r="27" spans="2:19">
      <c r="E27" s="228"/>
      <c r="G27" s="228"/>
      <c r="P27" s="274"/>
      <c r="R27" s="262"/>
    </row>
    <row r="28" spans="2:19">
      <c r="B28" s="240" t="s">
        <v>59</v>
      </c>
      <c r="C28" s="240"/>
      <c r="D28" s="240"/>
      <c r="E28" s="241"/>
      <c r="F28" s="240"/>
      <c r="G28" s="241"/>
      <c r="H28" s="240"/>
      <c r="I28" s="241">
        <v>45000</v>
      </c>
      <c r="P28" s="279">
        <v>120000</v>
      </c>
      <c r="Q28" s="240"/>
      <c r="R28" s="271"/>
      <c r="S28" s="279">
        <f>I28-P28</f>
        <v>-75000</v>
      </c>
    </row>
    <row r="29" spans="2:19" s="229" customFormat="1" ht="12.6">
      <c r="C29" s="229" t="s">
        <v>58</v>
      </c>
      <c r="E29" s="230"/>
      <c r="G29" s="230"/>
      <c r="I29" s="230"/>
      <c r="P29" s="280"/>
      <c r="R29" s="265"/>
      <c r="S29" s="280"/>
    </row>
    <row r="30" spans="2:19" s="229" customFormat="1" ht="12.6">
      <c r="C30" s="229" t="s">
        <v>57</v>
      </c>
      <c r="E30" s="230"/>
      <c r="G30" s="230"/>
      <c r="I30" s="230"/>
      <c r="P30" s="280"/>
      <c r="R30" s="265"/>
      <c r="S30" s="280"/>
    </row>
    <row r="31" spans="2:19">
      <c r="E31" s="228"/>
      <c r="G31" s="228"/>
      <c r="P31" s="274"/>
      <c r="R31" s="262"/>
    </row>
    <row r="32" spans="2:19">
      <c r="B32" s="240" t="s">
        <v>62</v>
      </c>
      <c r="C32" s="240"/>
      <c r="D32" s="240"/>
      <c r="E32" s="241"/>
      <c r="F32" s="240"/>
      <c r="G32" s="241"/>
      <c r="H32" s="240"/>
      <c r="I32" s="241">
        <v>45000</v>
      </c>
      <c r="P32" s="279">
        <v>80000</v>
      </c>
      <c r="Q32" s="240"/>
      <c r="R32" s="271"/>
      <c r="S32" s="279">
        <f>I32-P32</f>
        <v>-35000</v>
      </c>
    </row>
    <row r="33" spans="2:19" s="229" customFormat="1" ht="12.6">
      <c r="C33" s="229" t="s">
        <v>61</v>
      </c>
      <c r="E33" s="230"/>
      <c r="G33" s="230"/>
      <c r="I33" s="230"/>
      <c r="P33" s="280"/>
      <c r="R33" s="265"/>
      <c r="S33" s="280"/>
    </row>
    <row r="34" spans="2:19" s="229" customFormat="1" ht="12.6">
      <c r="C34" s="229" t="s">
        <v>60</v>
      </c>
      <c r="E34" s="230"/>
      <c r="G34" s="230"/>
      <c r="I34" s="230"/>
      <c r="P34" s="280"/>
      <c r="R34" s="265"/>
      <c r="S34" s="280"/>
    </row>
    <row r="35" spans="2:19">
      <c r="E35" s="228"/>
      <c r="G35" s="228"/>
      <c r="P35" s="274"/>
      <c r="R35" s="262"/>
    </row>
    <row r="36" spans="2:19">
      <c r="B36" s="244" t="s">
        <v>56</v>
      </c>
      <c r="C36" s="244"/>
      <c r="D36" s="244"/>
      <c r="E36" s="245"/>
      <c r="F36" s="244"/>
      <c r="G36" s="245"/>
      <c r="H36" s="244"/>
      <c r="I36" s="245">
        <v>70000</v>
      </c>
      <c r="P36" s="281">
        <v>70000</v>
      </c>
      <c r="Q36" s="244"/>
      <c r="R36" s="270"/>
      <c r="S36" s="281">
        <f>I36-P36</f>
        <v>0</v>
      </c>
    </row>
    <row r="37" spans="2:19" s="229" customFormat="1" ht="12.6">
      <c r="C37" s="229" t="s">
        <v>63</v>
      </c>
      <c r="E37" s="230"/>
      <c r="G37" s="230"/>
      <c r="I37" s="230"/>
      <c r="P37" s="280"/>
      <c r="R37" s="265"/>
      <c r="S37" s="280"/>
    </row>
    <row r="38" spans="2:19" s="229" customFormat="1" ht="12.6">
      <c r="C38" s="229" t="s">
        <v>64</v>
      </c>
      <c r="E38" s="230"/>
      <c r="G38" s="230"/>
      <c r="I38" s="230"/>
      <c r="P38" s="280"/>
      <c r="R38" s="265"/>
      <c r="S38" s="280"/>
    </row>
    <row r="39" spans="2:19" s="229" customFormat="1" ht="12.6">
      <c r="C39" s="229" t="s">
        <v>66</v>
      </c>
      <c r="E39" s="230"/>
      <c r="G39" s="230"/>
      <c r="I39" s="230"/>
      <c r="P39" s="280"/>
      <c r="R39" s="265"/>
      <c r="S39" s="280"/>
    </row>
    <row r="40" spans="2:19" s="229" customFormat="1" ht="12.6">
      <c r="C40" s="229" t="s">
        <v>65</v>
      </c>
      <c r="E40" s="230"/>
      <c r="G40" s="230"/>
      <c r="I40" s="230"/>
      <c r="P40" s="280"/>
      <c r="R40" s="265"/>
      <c r="S40" s="280"/>
    </row>
    <row r="41" spans="2:19" s="229" customFormat="1" ht="12.6">
      <c r="C41" s="229" t="s">
        <v>67</v>
      </c>
      <c r="E41" s="230"/>
      <c r="G41" s="230"/>
      <c r="I41" s="230"/>
      <c r="P41" s="280"/>
      <c r="R41" s="265"/>
      <c r="S41" s="280"/>
    </row>
    <row r="42" spans="2:19">
      <c r="E42" s="228"/>
      <c r="G42" s="228"/>
      <c r="P42" s="274"/>
      <c r="R42" s="262"/>
    </row>
    <row r="43" spans="2:19">
      <c r="B43" s="242" t="s">
        <v>73</v>
      </c>
      <c r="C43" s="242"/>
      <c r="D43" s="242"/>
      <c r="E43" s="243">
        <v>240</v>
      </c>
      <c r="F43" s="242"/>
      <c r="G43" s="243"/>
      <c r="H43" s="242"/>
      <c r="I43" s="243">
        <v>200000</v>
      </c>
      <c r="K43" s="1023" t="s">
        <v>483</v>
      </c>
      <c r="L43" s="231"/>
      <c r="M43" s="231"/>
      <c r="N43" s="231"/>
      <c r="P43" s="282">
        <v>200000</v>
      </c>
      <c r="Q43" s="242"/>
      <c r="R43" s="272"/>
      <c r="S43" s="282">
        <f>I43-P43</f>
        <v>0</v>
      </c>
    </row>
    <row r="44" spans="2:19" s="229" customFormat="1" ht="13.2">
      <c r="C44" s="229" t="s">
        <v>69</v>
      </c>
      <c r="E44" s="230"/>
      <c r="G44" s="230"/>
      <c r="I44" s="230"/>
      <c r="K44" s="1024" t="s">
        <v>480</v>
      </c>
      <c r="P44" s="280"/>
      <c r="R44" s="265"/>
      <c r="S44" s="280"/>
    </row>
    <row r="45" spans="2:19" s="229" customFormat="1" ht="13.2">
      <c r="C45" s="229" t="s">
        <v>68</v>
      </c>
      <c r="E45" s="230"/>
      <c r="G45" s="230"/>
      <c r="I45" s="230"/>
      <c r="K45" s="1024" t="s">
        <v>481</v>
      </c>
      <c r="P45" s="280"/>
      <c r="R45" s="265"/>
      <c r="S45" s="280"/>
    </row>
    <row r="46" spans="2:19">
      <c r="E46" s="228"/>
      <c r="G46" s="228"/>
      <c r="K46" s="1024" t="s">
        <v>482</v>
      </c>
      <c r="P46" s="274"/>
      <c r="R46" s="262"/>
    </row>
    <row r="47" spans="2:19">
      <c r="B47" s="246" t="s">
        <v>72</v>
      </c>
      <c r="C47" s="246"/>
      <c r="D47" s="246"/>
      <c r="E47" s="247"/>
      <c r="F47" s="246"/>
      <c r="G47" s="247"/>
      <c r="H47" s="246"/>
      <c r="I47" s="247">
        <v>125000</v>
      </c>
      <c r="P47" s="283">
        <v>25000</v>
      </c>
      <c r="Q47" s="246"/>
      <c r="R47" s="269"/>
      <c r="S47" s="283">
        <f>I47-P47</f>
        <v>100000</v>
      </c>
    </row>
    <row r="48" spans="2:19" s="229" customFormat="1" ht="12.6">
      <c r="C48" s="229" t="s">
        <v>71</v>
      </c>
      <c r="E48" s="230"/>
      <c r="G48" s="230"/>
      <c r="I48" s="230"/>
      <c r="P48" s="280"/>
      <c r="R48" s="265"/>
      <c r="S48" s="280"/>
    </row>
    <row r="49" spans="2:19" s="229" customFormat="1" ht="12.6">
      <c r="C49" s="229" t="s">
        <v>70</v>
      </c>
      <c r="E49" s="230"/>
      <c r="G49" s="230"/>
      <c r="I49" s="230"/>
      <c r="P49" s="280"/>
      <c r="R49" s="265"/>
      <c r="S49" s="280"/>
    </row>
    <row r="50" spans="2:19" s="229" customFormat="1" ht="12.6">
      <c r="B50" s="233"/>
      <c r="C50" s="233"/>
      <c r="D50" s="233"/>
      <c r="E50" s="234"/>
      <c r="F50" s="233"/>
      <c r="G50" s="234"/>
      <c r="H50" s="233"/>
      <c r="I50" s="234"/>
      <c r="P50" s="284"/>
      <c r="Q50" s="233"/>
      <c r="R50" s="266"/>
      <c r="S50" s="284"/>
    </row>
    <row r="51" spans="2:19" s="229" customFormat="1" ht="17.399999999999999">
      <c r="B51" s="252"/>
      <c r="C51" s="252"/>
      <c r="D51" s="252" t="s">
        <v>102</v>
      </c>
      <c r="E51" s="253"/>
      <c r="F51" s="252"/>
      <c r="G51" s="253"/>
      <c r="H51" s="252"/>
      <c r="I51" s="253">
        <f>I28+I32+I36+I43+I47</f>
        <v>485000</v>
      </c>
      <c r="P51" s="278">
        <f>P28+P32+P36+P43+P47</f>
        <v>495000</v>
      </c>
      <c r="Q51" s="260"/>
      <c r="R51" s="267"/>
      <c r="S51" s="278">
        <f>S28+S32+S36+S43+S47</f>
        <v>-10000</v>
      </c>
    </row>
    <row r="52" spans="2:19" s="229" customFormat="1" ht="12.6">
      <c r="E52" s="230"/>
      <c r="G52" s="230"/>
      <c r="I52" s="230"/>
      <c r="P52" s="280"/>
      <c r="R52" s="265"/>
      <c r="S52" s="280"/>
    </row>
    <row r="53" spans="2:19" s="229" customFormat="1" ht="12.6">
      <c r="E53" s="230"/>
      <c r="G53" s="230"/>
      <c r="I53" s="230"/>
      <c r="P53" s="280"/>
      <c r="R53" s="265"/>
      <c r="S53" s="280"/>
    </row>
    <row r="54" spans="2:19" s="229" customFormat="1">
      <c r="B54" s="248" t="s">
        <v>86</v>
      </c>
      <c r="C54" s="249"/>
      <c r="D54" s="249"/>
      <c r="E54" s="250">
        <v>131</v>
      </c>
      <c r="F54" s="249"/>
      <c r="G54" s="251"/>
      <c r="H54" s="249"/>
      <c r="I54" s="250">
        <f>E54*350</f>
        <v>45850</v>
      </c>
      <c r="K54" s="229" t="s">
        <v>99</v>
      </c>
      <c r="P54" s="289">
        <v>32000</v>
      </c>
      <c r="Q54" s="249"/>
      <c r="R54" s="287"/>
      <c r="S54" s="289">
        <f>I54-P54</f>
        <v>13850</v>
      </c>
    </row>
    <row r="55" spans="2:19" s="229" customFormat="1">
      <c r="B55" s="248" t="s">
        <v>85</v>
      </c>
      <c r="C55" s="249"/>
      <c r="D55" s="249"/>
      <c r="E55" s="250">
        <v>137</v>
      </c>
      <c r="F55" s="249"/>
      <c r="G55" s="251"/>
      <c r="H55" s="249"/>
      <c r="I55" s="250">
        <f>E55*350</f>
        <v>47950</v>
      </c>
      <c r="K55" s="229" t="s">
        <v>99</v>
      </c>
      <c r="P55" s="289">
        <v>61800</v>
      </c>
      <c r="Q55" s="249"/>
      <c r="R55" s="287"/>
      <c r="S55" s="289">
        <f>I55-P55</f>
        <v>-13850</v>
      </c>
    </row>
    <row r="56" spans="2:19">
      <c r="B56" s="248" t="s">
        <v>87</v>
      </c>
      <c r="C56" s="248"/>
      <c r="D56" s="248"/>
      <c r="E56" s="250">
        <v>295</v>
      </c>
      <c r="F56" s="248"/>
      <c r="G56" s="250"/>
      <c r="H56" s="248"/>
      <c r="I56" s="250">
        <f>E56*350</f>
        <v>103250</v>
      </c>
      <c r="J56" s="229"/>
      <c r="K56" s="229" t="s">
        <v>99</v>
      </c>
      <c r="P56" s="289">
        <v>85000</v>
      </c>
      <c r="Q56" s="248"/>
      <c r="R56" s="288"/>
      <c r="S56" s="289">
        <f>I56-P56</f>
        <v>18250</v>
      </c>
    </row>
    <row r="57" spans="2:19">
      <c r="B57" s="248" t="s">
        <v>88</v>
      </c>
      <c r="C57" s="248"/>
      <c r="D57" s="248"/>
      <c r="E57" s="250">
        <v>448</v>
      </c>
      <c r="F57" s="248"/>
      <c r="G57" s="250"/>
      <c r="H57" s="248"/>
      <c r="I57" s="250">
        <f>E57*350</f>
        <v>156800</v>
      </c>
      <c r="J57" s="229"/>
      <c r="K57" s="229" t="s">
        <v>99</v>
      </c>
      <c r="P57" s="289">
        <v>27600</v>
      </c>
      <c r="Q57" s="248"/>
      <c r="R57" s="288"/>
      <c r="S57" s="289">
        <f>I57-P57</f>
        <v>129200</v>
      </c>
    </row>
    <row r="58" spans="2:19">
      <c r="B58" s="231"/>
      <c r="C58" s="231"/>
      <c r="D58" s="231"/>
      <c r="E58" s="232"/>
      <c r="F58" s="231"/>
      <c r="G58" s="232"/>
      <c r="H58" s="231"/>
      <c r="I58" s="232"/>
      <c r="P58" s="277"/>
      <c r="Q58" s="231"/>
      <c r="R58" s="263"/>
      <c r="S58" s="277"/>
    </row>
    <row r="59" spans="2:19" ht="17.399999999999999">
      <c r="B59" s="252"/>
      <c r="C59" s="252"/>
      <c r="D59" s="252" t="s">
        <v>259</v>
      </c>
      <c r="E59" s="253">
        <f>SUM(E54:E58)</f>
        <v>1011</v>
      </c>
      <c r="F59" s="252"/>
      <c r="G59" s="253"/>
      <c r="H59" s="252"/>
      <c r="I59" s="253">
        <f>SUM(I54:I58)</f>
        <v>353850</v>
      </c>
      <c r="P59" s="253">
        <f>SUM(P54:P58)</f>
        <v>206400</v>
      </c>
      <c r="Q59" s="261"/>
      <c r="R59" s="264"/>
      <c r="S59" s="278">
        <f>I59-P59</f>
        <v>147450</v>
      </c>
    </row>
    <row r="60" spans="2:19">
      <c r="E60" s="228"/>
      <c r="G60" s="228"/>
      <c r="P60" s="274"/>
      <c r="R60" s="262"/>
    </row>
    <row r="61" spans="2:19">
      <c r="E61" s="228"/>
      <c r="G61" s="228"/>
      <c r="P61" s="274"/>
      <c r="R61" s="262"/>
    </row>
    <row r="62" spans="2:19" ht="20.399999999999999">
      <c r="B62" s="235" t="s">
        <v>256</v>
      </c>
      <c r="C62" s="231"/>
      <c r="D62" s="231"/>
      <c r="E62" s="232"/>
      <c r="F62" s="231"/>
      <c r="G62" s="232"/>
      <c r="H62" s="231"/>
      <c r="I62" s="232"/>
      <c r="J62" s="231"/>
      <c r="K62" s="231"/>
      <c r="L62" s="231"/>
      <c r="M62" s="231"/>
      <c r="N62" s="231"/>
      <c r="O62" s="231"/>
      <c r="P62" s="277"/>
      <c r="Q62" s="231"/>
      <c r="R62" s="263"/>
      <c r="S62" s="277"/>
    </row>
    <row r="63" spans="2:19">
      <c r="E63" s="228"/>
      <c r="G63" s="228"/>
      <c r="P63" s="274"/>
      <c r="R63" s="262"/>
    </row>
    <row r="64" spans="2:19">
      <c r="B64" s="236" t="s">
        <v>82</v>
      </c>
      <c r="C64" s="236"/>
      <c r="D64" s="236"/>
      <c r="E64" s="237"/>
      <c r="F64" s="236"/>
      <c r="G64" s="237"/>
      <c r="H64" s="236"/>
      <c r="I64" s="237">
        <v>310000</v>
      </c>
      <c r="P64" s="275">
        <v>345000</v>
      </c>
      <c r="Q64" s="236"/>
      <c r="R64" s="268"/>
      <c r="S64" s="275">
        <f>I64-P64</f>
        <v>-35000</v>
      </c>
    </row>
    <row r="65" spans="2:19">
      <c r="C65" s="229" t="s">
        <v>24</v>
      </c>
      <c r="E65" s="228">
        <v>100</v>
      </c>
      <c r="G65" s="228"/>
      <c r="P65" s="274"/>
      <c r="R65" s="262"/>
    </row>
    <row r="66" spans="2:19">
      <c r="C66" s="229" t="s">
        <v>77</v>
      </c>
      <c r="E66" s="228" t="s">
        <v>78</v>
      </c>
      <c r="G66" s="228"/>
      <c r="P66" s="274"/>
      <c r="R66" s="262"/>
    </row>
    <row r="67" spans="2:19">
      <c r="C67" s="229" t="s">
        <v>79</v>
      </c>
      <c r="E67" s="228">
        <v>20</v>
      </c>
      <c r="G67" s="228"/>
      <c r="P67" s="274"/>
      <c r="R67" s="262"/>
    </row>
    <row r="68" spans="2:19">
      <c r="E68" s="228"/>
      <c r="G68" s="228"/>
      <c r="P68" s="274"/>
      <c r="R68" s="262"/>
    </row>
    <row r="69" spans="2:19">
      <c r="B69" s="246" t="s">
        <v>89</v>
      </c>
      <c r="C69" s="246"/>
      <c r="D69" s="246"/>
      <c r="E69" s="247"/>
      <c r="F69" s="246"/>
      <c r="G69" s="247"/>
      <c r="H69" s="246"/>
      <c r="I69" s="247">
        <v>100000</v>
      </c>
      <c r="P69" s="283">
        <v>25000</v>
      </c>
      <c r="Q69" s="246"/>
      <c r="R69" s="269"/>
      <c r="S69" s="283">
        <f>I69-P69</f>
        <v>75000</v>
      </c>
    </row>
    <row r="70" spans="2:19">
      <c r="E70" s="228"/>
      <c r="G70" s="228"/>
      <c r="P70" s="274"/>
      <c r="R70" s="262"/>
    </row>
    <row r="71" spans="2:19">
      <c r="B71" s="246" t="s">
        <v>90</v>
      </c>
      <c r="C71" s="246"/>
      <c r="D71" s="246"/>
      <c r="E71" s="247"/>
      <c r="F71" s="246"/>
      <c r="G71" s="247"/>
      <c r="H71" s="246"/>
      <c r="I71" s="247">
        <v>75000</v>
      </c>
      <c r="P71" s="283">
        <v>100000</v>
      </c>
      <c r="Q71" s="246"/>
      <c r="R71" s="269"/>
      <c r="S71" s="283">
        <f>I71-P71</f>
        <v>-25000</v>
      </c>
    </row>
    <row r="72" spans="2:19">
      <c r="C72" s="229" t="s">
        <v>91</v>
      </c>
      <c r="E72" s="228"/>
      <c r="G72" s="228"/>
      <c r="P72" s="274"/>
      <c r="R72" s="262"/>
    </row>
    <row r="73" spans="2:19">
      <c r="C73" s="229" t="s">
        <v>70</v>
      </c>
      <c r="E73" s="228"/>
      <c r="G73" s="228"/>
      <c r="P73" s="274"/>
      <c r="R73" s="262"/>
    </row>
    <row r="74" spans="2:19">
      <c r="B74" s="231"/>
      <c r="C74" s="233"/>
      <c r="D74" s="231"/>
      <c r="E74" s="232"/>
      <c r="F74" s="231"/>
      <c r="G74" s="232"/>
      <c r="H74" s="231"/>
      <c r="I74" s="232"/>
      <c r="P74" s="277"/>
      <c r="Q74" s="231"/>
      <c r="R74" s="263"/>
      <c r="S74" s="277"/>
    </row>
    <row r="75" spans="2:19" ht="17.399999999999999">
      <c r="B75" s="252"/>
      <c r="C75" s="252"/>
      <c r="D75" s="252" t="s">
        <v>257</v>
      </c>
      <c r="E75" s="253"/>
      <c r="F75" s="252"/>
      <c r="G75" s="253"/>
      <c r="H75" s="252"/>
      <c r="I75" s="253">
        <f>I64+I69+I71</f>
        <v>485000</v>
      </c>
      <c r="P75" s="278">
        <f>P64+P69+P71</f>
        <v>470000</v>
      </c>
      <c r="Q75" s="261"/>
      <c r="R75" s="264"/>
      <c r="S75" s="278">
        <f>I75-P75</f>
        <v>15000</v>
      </c>
    </row>
    <row r="76" spans="2:19">
      <c r="E76" s="228"/>
      <c r="G76" s="228"/>
      <c r="P76" s="274"/>
      <c r="R76" s="262"/>
    </row>
    <row r="77" spans="2:19">
      <c r="E77" s="228"/>
      <c r="G77" s="228"/>
      <c r="P77" s="274"/>
      <c r="R77" s="262"/>
    </row>
    <row r="78" spans="2:19">
      <c r="B78" s="248" t="s">
        <v>92</v>
      </c>
      <c r="C78" s="249"/>
      <c r="D78" s="249"/>
      <c r="E78" s="250">
        <v>427</v>
      </c>
      <c r="F78" s="249"/>
      <c r="G78" s="251"/>
      <c r="H78" s="249"/>
      <c r="I78" s="250">
        <f>E78*350</f>
        <v>149450</v>
      </c>
      <c r="J78" s="229"/>
      <c r="K78" s="229" t="s">
        <v>99</v>
      </c>
      <c r="P78" s="289">
        <v>160000</v>
      </c>
      <c r="Q78" s="248"/>
      <c r="R78" s="288"/>
      <c r="S78" s="289">
        <f>I78-P78</f>
        <v>-10550</v>
      </c>
    </row>
    <row r="79" spans="2:19">
      <c r="B79" s="248" t="s">
        <v>94</v>
      </c>
      <c r="C79" s="249"/>
      <c r="D79" s="249"/>
      <c r="E79" s="250">
        <v>358</v>
      </c>
      <c r="F79" s="249"/>
      <c r="G79" s="251"/>
      <c r="H79" s="249"/>
      <c r="I79" s="250">
        <f>E79*350</f>
        <v>125300</v>
      </c>
      <c r="J79" s="229"/>
      <c r="K79" s="229" t="s">
        <v>99</v>
      </c>
      <c r="P79" s="289">
        <v>110400</v>
      </c>
      <c r="Q79" s="248"/>
      <c r="R79" s="288"/>
      <c r="S79" s="289">
        <f>I79-P79</f>
        <v>14900</v>
      </c>
    </row>
    <row r="80" spans="2:19">
      <c r="B80" s="248" t="s">
        <v>95</v>
      </c>
      <c r="C80" s="249"/>
      <c r="D80" s="249"/>
      <c r="E80" s="250">
        <v>269</v>
      </c>
      <c r="F80" s="249"/>
      <c r="G80" s="251"/>
      <c r="H80" s="249"/>
      <c r="I80" s="250">
        <f>E80*350</f>
        <v>94150</v>
      </c>
      <c r="J80" s="229"/>
      <c r="K80" s="229" t="s">
        <v>99</v>
      </c>
      <c r="P80" s="289">
        <v>27600</v>
      </c>
      <c r="Q80" s="248"/>
      <c r="R80" s="288"/>
      <c r="S80" s="289">
        <f>I80-P80</f>
        <v>66550</v>
      </c>
    </row>
    <row r="81" spans="2:19">
      <c r="B81" s="231"/>
      <c r="C81" s="231"/>
      <c r="D81" s="231"/>
      <c r="E81" s="232"/>
      <c r="F81" s="231"/>
      <c r="G81" s="232"/>
      <c r="H81" s="231"/>
      <c r="I81" s="232"/>
      <c r="P81" s="277"/>
      <c r="Q81" s="231"/>
      <c r="R81" s="263"/>
      <c r="S81" s="277"/>
    </row>
    <row r="82" spans="2:19" ht="17.399999999999999">
      <c r="B82" s="252"/>
      <c r="C82" s="252"/>
      <c r="D82" s="252" t="s">
        <v>258</v>
      </c>
      <c r="E82" s="253">
        <f>SUM(E78:E81)</f>
        <v>1054</v>
      </c>
      <c r="F82" s="252"/>
      <c r="G82" s="253"/>
      <c r="H82" s="252"/>
      <c r="I82" s="253">
        <f>SUM(I73:I81)</f>
        <v>853900</v>
      </c>
      <c r="P82" s="253">
        <f>SUM(P78:P81)</f>
        <v>298000</v>
      </c>
      <c r="Q82" s="261"/>
      <c r="R82" s="264"/>
      <c r="S82" s="278">
        <f>I82-P82</f>
        <v>555900</v>
      </c>
    </row>
    <row r="83" spans="2:19">
      <c r="E83" s="228"/>
      <c r="P83" s="274"/>
      <c r="R83" s="262"/>
    </row>
    <row r="84" spans="2:19">
      <c r="E84" s="228"/>
      <c r="P84" s="274"/>
      <c r="R84" s="262"/>
    </row>
    <row r="85" spans="2:19">
      <c r="B85" s="231"/>
      <c r="C85" s="231"/>
      <c r="D85" s="231"/>
      <c r="E85" s="232"/>
      <c r="F85" s="231"/>
      <c r="G85" s="259"/>
      <c r="H85" s="231"/>
      <c r="I85" s="232"/>
      <c r="J85" s="231"/>
      <c r="K85" s="231"/>
      <c r="L85" s="231"/>
      <c r="M85" s="231"/>
      <c r="N85" s="231"/>
      <c r="O85" s="231"/>
      <c r="P85" s="277"/>
      <c r="Q85" s="231"/>
      <c r="R85" s="263"/>
      <c r="S85" s="277"/>
    </row>
    <row r="86" spans="2:19" ht="17.399999999999999">
      <c r="B86" s="261"/>
      <c r="C86" s="261"/>
      <c r="D86" s="252" t="s">
        <v>261</v>
      </c>
      <c r="E86" s="285"/>
      <c r="F86" s="261"/>
      <c r="G86" s="286"/>
      <c r="H86" s="261"/>
      <c r="I86" s="253">
        <f>I18+I51+I75</f>
        <v>2821415</v>
      </c>
      <c r="P86" s="253">
        <f>P18+P51+P75</f>
        <v>3445000</v>
      </c>
      <c r="Q86" s="261"/>
      <c r="R86" s="264"/>
      <c r="S86" s="278">
        <f>I86-P86</f>
        <v>-623585</v>
      </c>
    </row>
    <row r="87" spans="2:19" ht="17.399999999999999">
      <c r="B87" s="261"/>
      <c r="C87" s="261"/>
      <c r="D87" s="252" t="s">
        <v>262</v>
      </c>
      <c r="E87" s="285"/>
      <c r="F87" s="261"/>
      <c r="G87" s="286"/>
      <c r="H87" s="261"/>
      <c r="I87" s="253">
        <f>I59+I82+I23</f>
        <v>2082050</v>
      </c>
      <c r="P87" s="253">
        <f>P59+P82+P23</f>
        <v>1704400</v>
      </c>
      <c r="Q87" s="261"/>
      <c r="R87" s="264"/>
      <c r="S87" s="253">
        <f>I87-P87</f>
        <v>377650</v>
      </c>
    </row>
    <row r="88" spans="2:19">
      <c r="R88" s="262"/>
    </row>
    <row r="90" spans="2:19">
      <c r="I90" s="1171" t="s">
        <v>402</v>
      </c>
      <c r="P90" s="1171" t="s">
        <v>103</v>
      </c>
    </row>
    <row r="91" spans="2:19">
      <c r="I91" s="1172"/>
      <c r="P91" s="1172"/>
    </row>
    <row r="92" spans="2:19">
      <c r="I92" s="1172"/>
      <c r="P92" s="1172"/>
    </row>
    <row r="93" spans="2:19">
      <c r="I93" s="1173"/>
      <c r="P93" s="1173"/>
    </row>
  </sheetData>
  <mergeCells count="2">
    <mergeCell ref="P90:P93"/>
    <mergeCell ref="I90:I93"/>
  </mergeCells>
  <pageMargins left="0.25" right="0.25" top="0.75" bottom="0.75" header="0.3" footer="0.3"/>
  <pageSetup paperSize="4" scale="90" orientation="portrait" r:id="rId1"/>
  <rowBreaks count="1" manualBreakCount="1">
    <brk id="6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ADD5-FBB3-4EEB-B6F8-D880C6388464}">
  <sheetPr>
    <tabColor theme="1" tint="0.249977111117893"/>
  </sheetPr>
  <dimension ref="A1:BV210"/>
  <sheetViews>
    <sheetView tabSelected="1" topLeftCell="A96" zoomScale="85" zoomScaleNormal="85" zoomScaleSheetLayoutView="85" workbookViewId="0">
      <selection activeCell="M113" sqref="M113"/>
    </sheetView>
  </sheetViews>
  <sheetFormatPr defaultRowHeight="13.2"/>
  <cols>
    <col min="2" max="2" width="11.33203125" style="846" customWidth="1"/>
    <col min="3" max="3" width="16.6640625" style="755" customWidth="1"/>
    <col min="4" max="4" width="16.6640625" customWidth="1"/>
    <col min="5" max="5" width="38.6640625" customWidth="1"/>
    <col min="6" max="6" width="12.33203125" customWidth="1"/>
    <col min="7" max="7" width="18.77734375" customWidth="1"/>
    <col min="8" max="9" width="16.6640625" hidden="1" customWidth="1"/>
    <col min="10" max="10" width="3.6640625" style="87" customWidth="1"/>
    <col min="11" max="11" width="11.6640625" customWidth="1"/>
    <col min="12" max="13" width="16.6640625" customWidth="1"/>
    <col min="14" max="14" width="3.44140625" style="1057" customWidth="1"/>
    <col min="15" max="15" width="17.77734375" style="1125" customWidth="1"/>
    <col min="16" max="16" width="16.6640625" style="1125" customWidth="1"/>
    <col min="17" max="17" width="3.77734375" style="1057" customWidth="1"/>
    <col min="18" max="18" width="3.6640625" customWidth="1"/>
    <col min="19" max="19" width="9.6640625" style="565" customWidth="1"/>
    <col min="20" max="20" width="16.6640625" customWidth="1"/>
    <col min="21" max="21" width="6.6640625" customWidth="1"/>
    <col min="22" max="23" width="3.6640625" customWidth="1"/>
    <col min="24" max="24" width="9.6640625" customWidth="1"/>
    <col min="25" max="25" width="16.6640625" customWidth="1"/>
    <col min="26" max="26" width="6.33203125" customWidth="1"/>
    <col min="27" max="28" width="3.6640625" customWidth="1"/>
    <col min="29" max="29" width="9.6640625" customWidth="1"/>
    <col min="30" max="30" width="16.6640625" customWidth="1"/>
    <col min="31" max="31" width="6.6640625" customWidth="1"/>
    <col min="32" max="32" width="3.6640625" customWidth="1"/>
    <col min="33" max="33" width="2.5546875" customWidth="1"/>
    <col min="34" max="34" width="11.33203125" style="87" customWidth="1"/>
    <col min="35" max="35" width="2.5546875" customWidth="1"/>
    <col min="36" max="36" width="14.6640625" style="87" customWidth="1"/>
    <col min="37" max="37" width="2.5546875" customWidth="1"/>
    <col min="38" max="38" width="3.6640625" customWidth="1"/>
    <col min="39" max="40" width="3.33203125" customWidth="1"/>
    <col min="41" max="41" width="16.6640625" customWidth="1"/>
    <col min="42" max="42" width="3.33203125" customWidth="1"/>
    <col min="43" max="43" width="8.6640625" customWidth="1"/>
    <col min="44" max="44" width="3.33203125" customWidth="1"/>
    <col min="45" max="45" width="18.6640625" customWidth="1"/>
    <col min="46" max="49" width="3.33203125" customWidth="1"/>
    <col min="50" max="50" width="26.5546875" customWidth="1"/>
    <col min="51" max="52" width="3.33203125" customWidth="1"/>
    <col min="53" max="53" width="16.6640625" customWidth="1"/>
    <col min="54" max="56" width="3.33203125" customWidth="1"/>
    <col min="57" max="57" width="26.5546875" customWidth="1"/>
    <col min="58" max="59" width="3.33203125" customWidth="1"/>
    <col min="60" max="60" width="16.6640625" customWidth="1"/>
    <col min="61" max="61" width="7.6640625" customWidth="1"/>
    <col min="62" max="62" width="12.6640625" customWidth="1"/>
    <col min="63" max="63" width="16.33203125" customWidth="1"/>
    <col min="64" max="64" width="13.6640625" customWidth="1"/>
    <col min="65" max="65" width="7.6640625" customWidth="1"/>
    <col min="66" max="66" width="12.6640625" customWidth="1"/>
    <col min="67" max="67" width="16.33203125" customWidth="1"/>
    <col min="68" max="68" width="13.6640625" customWidth="1"/>
    <col min="69" max="69" width="1.6640625" customWidth="1"/>
    <col min="70" max="70" width="12.33203125" hidden="1" customWidth="1"/>
    <col min="71" max="71" width="15.6640625" hidden="1" customWidth="1"/>
    <col min="72" max="72" width="14.5546875" hidden="1" customWidth="1"/>
    <col min="73" max="73" width="7.6640625" hidden="1" customWidth="1"/>
    <col min="74" max="74" width="20.6640625" customWidth="1"/>
    <col min="75" max="76" width="11.6640625" customWidth="1"/>
  </cols>
  <sheetData>
    <row r="1" spans="1:72" ht="36.75" customHeight="1">
      <c r="A1" s="819" t="s">
        <v>383</v>
      </c>
      <c r="B1" s="846" t="s">
        <v>0</v>
      </c>
      <c r="C1" s="785" t="s">
        <v>277</v>
      </c>
      <c r="D1" s="786" t="s">
        <v>281</v>
      </c>
      <c r="E1" s="786" t="s">
        <v>278</v>
      </c>
      <c r="F1" s="784"/>
      <c r="G1" s="784"/>
      <c r="H1" s="784"/>
      <c r="I1" s="784"/>
      <c r="J1" s="782"/>
      <c r="K1" s="787" t="s">
        <v>279</v>
      </c>
      <c r="L1" s="783"/>
      <c r="M1" s="783"/>
      <c r="N1" s="1082"/>
      <c r="O1" s="1119"/>
      <c r="P1" s="1119"/>
      <c r="Q1" s="1082"/>
      <c r="R1" s="783"/>
      <c r="S1" s="787" t="s">
        <v>414</v>
      </c>
      <c r="T1" s="787" t="s">
        <v>274</v>
      </c>
      <c r="U1" s="783"/>
      <c r="V1" s="160"/>
      <c r="W1" s="160"/>
      <c r="X1" s="787" t="s">
        <v>414</v>
      </c>
      <c r="Y1" s="787" t="s">
        <v>413</v>
      </c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788" t="s">
        <v>161</v>
      </c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0"/>
      <c r="BH1" s="160"/>
      <c r="BJ1" s="1174"/>
      <c r="BK1" s="1174"/>
      <c r="BL1" s="1174"/>
      <c r="BN1" s="1174"/>
      <c r="BO1" s="1174"/>
      <c r="BP1" s="1174"/>
    </row>
    <row r="2" spans="1:72" ht="18" customHeight="1">
      <c r="C2" s="754"/>
      <c r="E2" s="1"/>
      <c r="J2" s="81"/>
      <c r="K2" s="160"/>
      <c r="L2" s="160"/>
      <c r="M2" s="160"/>
      <c r="N2" s="1083"/>
      <c r="O2" s="1120"/>
      <c r="P2" s="1120"/>
      <c r="Q2" s="1083"/>
      <c r="R2" s="160"/>
      <c r="S2" s="555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0"/>
      <c r="AP2" s="160"/>
      <c r="AQ2" s="160"/>
      <c r="AR2" s="160"/>
      <c r="AS2" s="160"/>
      <c r="AT2" s="160"/>
      <c r="AU2" s="160"/>
      <c r="AV2" s="160"/>
      <c r="AW2" s="160"/>
      <c r="AX2" s="160"/>
      <c r="AY2" s="160"/>
      <c r="AZ2" s="160"/>
      <c r="BA2" s="160"/>
      <c r="BB2" s="160"/>
      <c r="BC2" s="160"/>
      <c r="BD2" s="160"/>
      <c r="BE2" s="160"/>
      <c r="BF2" s="160"/>
      <c r="BG2" s="160"/>
      <c r="BH2" s="160"/>
      <c r="BJ2" s="844" t="s">
        <v>405</v>
      </c>
      <c r="BK2" s="752"/>
      <c r="BL2" s="752"/>
      <c r="BN2" s="752"/>
      <c r="BO2" s="752"/>
      <c r="BP2" s="752"/>
    </row>
    <row r="3" spans="1:72" ht="19.5" customHeight="1">
      <c r="D3" s="913" t="s">
        <v>452</v>
      </c>
      <c r="E3" s="781"/>
      <c r="F3" s="777"/>
      <c r="H3" s="1177" t="s">
        <v>1</v>
      </c>
      <c r="I3" s="1177"/>
      <c r="J3" s="581"/>
      <c r="K3" s="1181" t="s">
        <v>557</v>
      </c>
      <c r="L3" s="1181"/>
      <c r="M3" s="1181"/>
      <c r="N3" s="1084"/>
      <c r="O3" s="1184" t="s">
        <v>558</v>
      </c>
      <c r="P3" s="1184"/>
      <c r="Q3" s="1084"/>
      <c r="R3" s="161"/>
      <c r="S3" s="556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161"/>
      <c r="AL3" s="161"/>
      <c r="AM3" s="161"/>
      <c r="AN3" s="530"/>
      <c r="AO3" s="634" t="s">
        <v>188</v>
      </c>
      <c r="AP3" s="161"/>
      <c r="AQ3" s="161"/>
      <c r="AR3" s="161"/>
      <c r="AS3" s="634" t="s">
        <v>189</v>
      </c>
      <c r="AT3" s="161"/>
      <c r="AU3" s="581"/>
      <c r="AV3" s="581"/>
      <c r="AW3" s="161"/>
      <c r="AX3" s="161" t="s">
        <v>263</v>
      </c>
      <c r="AY3" s="161"/>
      <c r="AZ3" s="194"/>
      <c r="BA3" s="161"/>
      <c r="BB3" s="581"/>
      <c r="BC3" s="581"/>
      <c r="BD3" s="161"/>
      <c r="BE3" s="161" t="s">
        <v>46</v>
      </c>
      <c r="BF3" s="161"/>
      <c r="BG3" s="194"/>
      <c r="BH3" s="161"/>
      <c r="BJ3" s="1192"/>
      <c r="BK3" s="1192"/>
      <c r="BL3" s="1192"/>
      <c r="BN3" s="1175"/>
      <c r="BO3" s="1175"/>
      <c r="BP3" s="1175"/>
      <c r="BR3" s="1180" t="s">
        <v>2</v>
      </c>
      <c r="BS3" s="1180"/>
      <c r="BT3" s="1180"/>
    </row>
    <row r="4" spans="1:72" ht="19.5" customHeight="1">
      <c r="D4" s="841" t="s">
        <v>448</v>
      </c>
      <c r="E4" s="781"/>
      <c r="F4" s="777"/>
      <c r="H4" s="1177" t="s">
        <v>265</v>
      </c>
      <c r="I4" s="1177"/>
      <c r="J4" s="581"/>
      <c r="K4" s="1181" t="s">
        <v>559</v>
      </c>
      <c r="L4" s="1181"/>
      <c r="M4" s="1181"/>
      <c r="N4" s="1085"/>
      <c r="O4" s="1183" t="s">
        <v>561</v>
      </c>
      <c r="P4" s="1183"/>
      <c r="Q4" s="1085"/>
      <c r="R4" s="158"/>
      <c r="S4" s="557"/>
      <c r="T4" s="158"/>
      <c r="U4" s="578"/>
      <c r="V4" s="578"/>
      <c r="W4" s="578"/>
      <c r="X4" s="578"/>
      <c r="Y4" s="578"/>
      <c r="Z4" s="578"/>
      <c r="AA4" s="578"/>
      <c r="AB4" s="578"/>
      <c r="AC4" s="578"/>
      <c r="AD4" s="578"/>
      <c r="AE4" s="578"/>
      <c r="AF4" s="578"/>
      <c r="AG4" s="578"/>
      <c r="AH4" s="578"/>
      <c r="AI4" s="578"/>
      <c r="AJ4" s="578"/>
      <c r="AK4" s="578"/>
      <c r="AL4" s="578"/>
      <c r="AM4" s="158"/>
      <c r="AN4" s="531"/>
      <c r="AO4" s="634" t="s">
        <v>161</v>
      </c>
      <c r="AP4" s="158"/>
      <c r="AQ4" s="158"/>
      <c r="AR4" s="158"/>
      <c r="AS4" s="634" t="s">
        <v>41</v>
      </c>
      <c r="AT4" s="158"/>
      <c r="AU4" s="582"/>
      <c r="AV4" s="582"/>
      <c r="AW4" s="158"/>
      <c r="AX4" s="158" t="s">
        <v>187</v>
      </c>
      <c r="AY4" s="158"/>
      <c r="AZ4" s="195"/>
      <c r="BA4" s="158"/>
      <c r="BB4" s="582"/>
      <c r="BC4" s="582"/>
      <c r="BD4" s="158"/>
      <c r="BE4" s="158" t="s">
        <v>187</v>
      </c>
      <c r="BF4" s="158"/>
      <c r="BG4" s="195"/>
      <c r="BH4" s="158"/>
      <c r="BJ4" s="1176"/>
      <c r="BK4" s="1176"/>
      <c r="BL4" s="1176"/>
      <c r="BN4" s="1176"/>
      <c r="BO4" s="1176"/>
      <c r="BP4" s="1176"/>
      <c r="BR4" s="1181" t="s">
        <v>0</v>
      </c>
      <c r="BS4" s="1181"/>
      <c r="BT4" s="1181"/>
    </row>
    <row r="5" spans="1:72" ht="40.5" customHeight="1">
      <c r="D5" s="151"/>
      <c r="E5" s="150"/>
      <c r="F5" s="11"/>
      <c r="G5" s="11"/>
      <c r="H5" s="82" t="s">
        <v>3</v>
      </c>
      <c r="I5" s="82" t="s">
        <v>4</v>
      </c>
      <c r="J5" s="10"/>
      <c r="K5" s="83" t="s">
        <v>5</v>
      </c>
      <c r="L5" s="83" t="s">
        <v>6</v>
      </c>
      <c r="M5" s="84" t="s">
        <v>7</v>
      </c>
      <c r="N5" s="1086"/>
      <c r="O5" s="1121" t="s">
        <v>556</v>
      </c>
      <c r="P5" s="1122" t="s">
        <v>146</v>
      </c>
      <c r="Q5" s="1086"/>
      <c r="R5" s="196"/>
      <c r="S5" s="1190" t="s">
        <v>267</v>
      </c>
      <c r="T5" s="1191"/>
      <c r="U5" s="1191"/>
      <c r="V5" s="762"/>
      <c r="W5" s="763"/>
      <c r="X5" s="1190" t="s">
        <v>451</v>
      </c>
      <c r="Y5" s="1191"/>
      <c r="Z5" s="1191"/>
      <c r="AA5" s="762"/>
      <c r="AB5" s="763"/>
      <c r="AC5" s="1190" t="s">
        <v>275</v>
      </c>
      <c r="AD5" s="1191"/>
      <c r="AE5" s="1191"/>
      <c r="AF5" s="762"/>
      <c r="AG5" s="763"/>
      <c r="AH5" s="83" t="s">
        <v>445</v>
      </c>
      <c r="AI5" s="183"/>
      <c r="AJ5" s="83" t="s">
        <v>447</v>
      </c>
      <c r="AK5" s="762"/>
      <c r="AL5" s="763"/>
      <c r="AM5" s="84"/>
      <c r="AN5" s="532"/>
      <c r="AO5" s="84" t="s">
        <v>146</v>
      </c>
      <c r="AP5" s="84"/>
      <c r="AQ5" s="183" t="s">
        <v>162</v>
      </c>
      <c r="AR5" s="84"/>
      <c r="AS5" s="84" t="s">
        <v>146</v>
      </c>
      <c r="AT5" s="84"/>
      <c r="AU5" s="123"/>
      <c r="AV5" s="123"/>
      <c r="AW5" s="84"/>
      <c r="AX5" s="83"/>
      <c r="AY5" s="84"/>
      <c r="AZ5" s="196"/>
      <c r="BA5" s="183" t="s">
        <v>41</v>
      </c>
      <c r="BB5" s="123"/>
      <c r="BC5" s="123"/>
      <c r="BD5" s="84"/>
      <c r="BE5" s="83" t="s">
        <v>43</v>
      </c>
      <c r="BF5" s="84"/>
      <c r="BG5" s="196"/>
      <c r="BH5" s="183" t="s">
        <v>41</v>
      </c>
      <c r="BJ5" s="122"/>
      <c r="BK5" s="122"/>
      <c r="BL5" s="123"/>
      <c r="BN5" s="122"/>
      <c r="BO5" s="122"/>
      <c r="BP5" s="123"/>
      <c r="BR5" s="83" t="s">
        <v>5</v>
      </c>
      <c r="BS5" s="83" t="s">
        <v>6</v>
      </c>
      <c r="BT5" s="84" t="s">
        <v>7</v>
      </c>
    </row>
    <row r="6" spans="1:72" ht="15.6">
      <c r="A6" s="3"/>
      <c r="B6" s="847" t="s">
        <v>553</v>
      </c>
      <c r="C6" s="2" t="s">
        <v>276</v>
      </c>
      <c r="D6" s="2"/>
      <c r="E6" s="3"/>
      <c r="F6" s="2"/>
      <c r="G6" s="2"/>
      <c r="H6" s="3"/>
      <c r="I6" s="3"/>
      <c r="J6" s="10"/>
      <c r="K6" s="4"/>
      <c r="L6" s="4"/>
      <c r="M6" s="5">
        <f>M7+M11</f>
        <v>73100</v>
      </c>
      <c r="N6" s="1087"/>
      <c r="O6" s="1123"/>
      <c r="P6" s="1123">
        <f>P7+P11</f>
        <v>72638</v>
      </c>
      <c r="Q6" s="1087"/>
      <c r="R6" s="197"/>
      <c r="S6" s="558">
        <v>1.1000000000000001</v>
      </c>
      <c r="T6" s="5">
        <f>S6*M6</f>
        <v>80410</v>
      </c>
      <c r="U6" s="5"/>
      <c r="V6" s="5"/>
      <c r="W6" s="197"/>
      <c r="X6" s="558">
        <v>1.25</v>
      </c>
      <c r="Y6" s="5">
        <f>X6*M6</f>
        <v>91375</v>
      </c>
      <c r="Z6" s="5"/>
      <c r="AA6" s="5"/>
      <c r="AB6" s="197"/>
      <c r="AC6" s="558">
        <v>1.5</v>
      </c>
      <c r="AD6" s="5">
        <f>AC6*M6</f>
        <v>109650</v>
      </c>
      <c r="AE6" s="5"/>
      <c r="AF6" s="5"/>
      <c r="AG6" s="197"/>
      <c r="AH6" s="888">
        <f>_xlfn.PERCENTOF(M6,M176)</f>
        <v>6.2606521013009481E-2</v>
      </c>
      <c r="AI6" s="5"/>
      <c r="AJ6" s="512">
        <f>MROUND(M6,1000)</f>
        <v>73000</v>
      </c>
      <c r="AK6" s="5"/>
      <c r="AL6" s="197"/>
      <c r="AM6" s="5"/>
      <c r="AN6" s="533"/>
      <c r="AO6" s="5">
        <f>AO7+AO11</f>
        <v>73100</v>
      </c>
      <c r="AP6" s="5"/>
      <c r="AQ6" s="512"/>
      <c r="AR6" s="5"/>
      <c r="AS6" s="168">
        <f>AO6-T6</f>
        <v>-7310</v>
      </c>
      <c r="AT6" s="5"/>
      <c r="AU6" s="8"/>
      <c r="AV6" s="8"/>
      <c r="AW6" s="5"/>
      <c r="AX6" s="5">
        <f>AX7+AX11</f>
        <v>90400</v>
      </c>
      <c r="AY6" s="5"/>
      <c r="AZ6" s="197"/>
      <c r="BA6" s="175">
        <f>M6-AX6</f>
        <v>-17300</v>
      </c>
      <c r="BB6" s="8"/>
      <c r="BC6" s="8"/>
      <c r="BD6" s="5"/>
      <c r="BE6" s="5">
        <f>BE7+BE11</f>
        <v>107128</v>
      </c>
      <c r="BF6" s="5"/>
      <c r="BG6" s="197"/>
      <c r="BH6" s="175">
        <f>M6-BE6</f>
        <v>-34028</v>
      </c>
      <c r="BI6" s="119"/>
      <c r="BJ6" s="6"/>
      <c r="BK6" s="6"/>
      <c r="BL6" s="8"/>
      <c r="BN6" s="6"/>
      <c r="BO6" s="6"/>
      <c r="BP6" s="8"/>
      <c r="BR6" s="4"/>
      <c r="BS6" s="4"/>
      <c r="BT6" s="5">
        <f>BT7+BT11</f>
        <v>90400</v>
      </c>
    </row>
    <row r="7" spans="1:72" ht="15.6">
      <c r="A7" s="803" t="s">
        <v>0</v>
      </c>
      <c r="B7" s="848" t="s">
        <v>410</v>
      </c>
      <c r="D7" s="89" t="s">
        <v>411</v>
      </c>
      <c r="E7" s="69"/>
      <c r="F7" s="89"/>
      <c r="G7" s="89"/>
      <c r="H7" s="94">
        <f>H8</f>
        <v>54</v>
      </c>
      <c r="I7" s="94">
        <f>I8</f>
        <v>73</v>
      </c>
      <c r="J7" s="10"/>
      <c r="K7" s="88">
        <f>K8</f>
        <v>73</v>
      </c>
      <c r="L7" s="1116">
        <f>M7/K7</f>
        <v>869.86301369863008</v>
      </c>
      <c r="M7" s="73">
        <v>63500</v>
      </c>
      <c r="N7" s="1088"/>
      <c r="O7" s="1124">
        <f>P7/K7</f>
        <v>864.69863013698625</v>
      </c>
      <c r="P7" s="1124">
        <v>63123</v>
      </c>
      <c r="Q7" s="1088"/>
      <c r="R7" s="198"/>
      <c r="S7" s="580"/>
      <c r="T7" s="73">
        <f>S6*M7</f>
        <v>69850</v>
      </c>
      <c r="U7" s="8"/>
      <c r="V7" s="8"/>
      <c r="W7" s="198"/>
      <c r="X7" s="580"/>
      <c r="Y7" s="73">
        <f>X6*M7</f>
        <v>79375</v>
      </c>
      <c r="Z7" s="8"/>
      <c r="AA7" s="8"/>
      <c r="AB7" s="198"/>
      <c r="AC7" s="580"/>
      <c r="AD7" s="73">
        <f>AC6*M7</f>
        <v>95250</v>
      </c>
      <c r="AE7" s="8"/>
      <c r="AF7" s="8"/>
      <c r="AG7" s="198"/>
      <c r="AH7" s="889"/>
      <c r="AI7" s="8"/>
      <c r="AJ7" s="144"/>
      <c r="AK7" s="8"/>
      <c r="AL7" s="198"/>
      <c r="AM7" s="8"/>
      <c r="AN7" s="534"/>
      <c r="AO7" s="73">
        <f>SUM(AO8:AO9)</f>
        <v>63500</v>
      </c>
      <c r="AP7" s="8"/>
      <c r="AQ7" s="144"/>
      <c r="AR7" s="8"/>
      <c r="AS7" s="497"/>
      <c r="AT7" s="8"/>
      <c r="AU7" s="8"/>
      <c r="AV7" s="8"/>
      <c r="AW7" s="8"/>
      <c r="AX7" s="73">
        <v>80000</v>
      </c>
      <c r="AY7" s="8"/>
      <c r="AZ7" s="198"/>
      <c r="BA7" s="144"/>
      <c r="BB7" s="8"/>
      <c r="BC7" s="8"/>
      <c r="BD7" s="8"/>
      <c r="BE7" s="73">
        <v>96568</v>
      </c>
      <c r="BF7" s="8"/>
      <c r="BG7" s="198"/>
      <c r="BH7" s="144"/>
      <c r="BJ7" s="6"/>
      <c r="BK7" s="6"/>
      <c r="BL7" s="8"/>
      <c r="BN7" s="6"/>
      <c r="BO7" s="6"/>
      <c r="BP7" s="8"/>
      <c r="BR7" s="72"/>
      <c r="BS7" s="72"/>
      <c r="BT7" s="73">
        <f>BT8</f>
        <v>80000</v>
      </c>
    </row>
    <row r="8" spans="1:72" ht="15.6">
      <c r="A8" s="803" t="s">
        <v>0</v>
      </c>
      <c r="B8" s="848"/>
      <c r="D8" s="6"/>
      <c r="E8" s="1" t="s">
        <v>8</v>
      </c>
      <c r="F8" s="6"/>
      <c r="G8" s="6"/>
      <c r="H8" s="9">
        <v>54</v>
      </c>
      <c r="I8" s="9">
        <v>73</v>
      </c>
      <c r="J8" s="9"/>
      <c r="K8" s="10">
        <v>73</v>
      </c>
      <c r="L8" s="1090">
        <v>865</v>
      </c>
      <c r="M8" s="71">
        <f>L8*K8</f>
        <v>63145</v>
      </c>
      <c r="N8" s="71"/>
      <c r="Q8" s="71"/>
      <c r="R8" s="199"/>
      <c r="S8" s="559"/>
      <c r="T8" s="12">
        <f>S6*M8</f>
        <v>69459.5</v>
      </c>
      <c r="U8" s="12"/>
      <c r="V8" s="12"/>
      <c r="W8" s="199"/>
      <c r="X8" s="559"/>
      <c r="Y8" s="12">
        <f>X6*M8</f>
        <v>78931.25</v>
      </c>
      <c r="Z8" s="12"/>
      <c r="AA8" s="12"/>
      <c r="AB8" s="199"/>
      <c r="AC8" s="559"/>
      <c r="AD8" s="12">
        <f>AC6*M8</f>
        <v>94717.5</v>
      </c>
      <c r="AE8" s="12"/>
      <c r="AF8" s="12"/>
      <c r="AG8" s="199"/>
      <c r="AH8" s="890"/>
      <c r="AI8" s="12"/>
      <c r="AJ8" s="512">
        <f>MROUND(M8,1000)</f>
        <v>63000</v>
      </c>
      <c r="AK8" s="12"/>
      <c r="AL8" s="199"/>
      <c r="AM8" s="12"/>
      <c r="AN8" s="535"/>
      <c r="AO8" s="594">
        <v>59500</v>
      </c>
      <c r="AP8" s="594"/>
      <c r="AQ8" s="595" t="s">
        <v>163</v>
      </c>
      <c r="AR8" s="594"/>
      <c r="AS8" s="596">
        <f>AO8-T8</f>
        <v>-9959.5</v>
      </c>
      <c r="AT8" s="12"/>
      <c r="AU8" s="583"/>
      <c r="AV8" s="125"/>
      <c r="AW8" s="33"/>
      <c r="AX8" s="12"/>
      <c r="AY8" s="12"/>
      <c r="AZ8" s="199"/>
      <c r="BA8" s="27"/>
      <c r="BB8" s="125"/>
      <c r="BC8" s="125"/>
      <c r="BD8" s="33"/>
      <c r="BE8" s="12"/>
      <c r="BF8" s="12"/>
      <c r="BG8" s="199"/>
      <c r="BH8" s="27"/>
      <c r="BJ8" s="10"/>
      <c r="BK8" s="140"/>
      <c r="BL8" s="125"/>
      <c r="BN8" s="140"/>
      <c r="BO8" s="11"/>
      <c r="BP8" s="125"/>
      <c r="BR8" s="10">
        <v>100</v>
      </c>
      <c r="BS8" s="11">
        <v>800</v>
      </c>
      <c r="BT8" s="12">
        <f>BS8*BR8</f>
        <v>80000</v>
      </c>
    </row>
    <row r="9" spans="1:72" ht="15.6">
      <c r="A9" s="803" t="s">
        <v>0</v>
      </c>
      <c r="B9" s="848"/>
      <c r="D9" s="6"/>
      <c r="E9" s="1" t="s">
        <v>9</v>
      </c>
      <c r="F9" s="6"/>
      <c r="G9" s="6"/>
      <c r="H9" s="9">
        <v>8</v>
      </c>
      <c r="I9" s="9">
        <v>8</v>
      </c>
      <c r="J9" s="9"/>
      <c r="K9" s="13">
        <v>8</v>
      </c>
      <c r="L9" s="1114" t="s">
        <v>10</v>
      </c>
      <c r="M9" s="584"/>
      <c r="N9" s="584"/>
      <c r="O9" s="1126"/>
      <c r="P9" s="1126"/>
      <c r="Q9" s="584"/>
      <c r="R9" s="200"/>
      <c r="S9" s="560"/>
      <c r="T9" s="15"/>
      <c r="U9" s="15"/>
      <c r="V9" s="15"/>
      <c r="W9" s="200"/>
      <c r="X9" s="560"/>
      <c r="Y9" s="15"/>
      <c r="Z9" s="15"/>
      <c r="AA9" s="15"/>
      <c r="AB9" s="200"/>
      <c r="AC9" s="560"/>
      <c r="AD9" s="15"/>
      <c r="AE9" s="15"/>
      <c r="AF9" s="15"/>
      <c r="AG9" s="200"/>
      <c r="AH9" s="890"/>
      <c r="AI9" s="15"/>
      <c r="AJ9" s="27"/>
      <c r="AK9" s="15"/>
      <c r="AL9" s="200"/>
      <c r="AM9" s="15"/>
      <c r="AN9" s="536"/>
      <c r="AO9" s="597">
        <v>4000</v>
      </c>
      <c r="AP9" s="597"/>
      <c r="AQ9" s="595" t="s">
        <v>163</v>
      </c>
      <c r="AR9" s="597"/>
      <c r="AS9" s="596">
        <f>AO9-T9</f>
        <v>4000</v>
      </c>
      <c r="AT9" s="15"/>
      <c r="AU9" s="584"/>
      <c r="AV9" s="71"/>
      <c r="AW9" s="70"/>
      <c r="AX9" s="15"/>
      <c r="AY9" s="15"/>
      <c r="AZ9" s="200"/>
      <c r="BA9" s="27"/>
      <c r="BB9" s="71"/>
      <c r="BC9" s="71"/>
      <c r="BD9" s="70"/>
      <c r="BE9" s="15"/>
      <c r="BF9" s="15"/>
      <c r="BG9" s="200"/>
      <c r="BH9" s="27"/>
      <c r="BJ9" s="13"/>
      <c r="BK9" s="14"/>
      <c r="BL9" s="71"/>
      <c r="BN9" s="129"/>
      <c r="BO9" s="14"/>
      <c r="BP9" s="71"/>
      <c r="BR9" s="13">
        <v>8</v>
      </c>
      <c r="BS9" s="14" t="s">
        <v>10</v>
      </c>
      <c r="BT9" s="15"/>
    </row>
    <row r="10" spans="1:72" ht="15.6">
      <c r="B10" s="848"/>
      <c r="D10" s="6"/>
      <c r="E10" s="1"/>
      <c r="F10" s="6"/>
      <c r="G10" s="6"/>
      <c r="H10" s="9"/>
      <c r="I10" s="9"/>
      <c r="J10" s="9"/>
      <c r="K10" s="13"/>
      <c r="L10" s="1114"/>
      <c r="M10" s="584"/>
      <c r="N10" s="584"/>
      <c r="O10" s="1126"/>
      <c r="P10" s="1126"/>
      <c r="Q10" s="584"/>
      <c r="R10" s="200"/>
      <c r="S10" s="560"/>
      <c r="T10" s="15"/>
      <c r="U10" s="15"/>
      <c r="V10" s="15"/>
      <c r="W10" s="200"/>
      <c r="X10" s="560"/>
      <c r="Y10" s="15"/>
      <c r="Z10" s="15"/>
      <c r="AA10" s="15"/>
      <c r="AB10" s="200"/>
      <c r="AC10" s="560"/>
      <c r="AD10" s="15"/>
      <c r="AE10" s="15"/>
      <c r="AF10" s="15"/>
      <c r="AG10" s="200"/>
      <c r="AH10" s="890"/>
      <c r="AI10" s="15"/>
      <c r="AJ10" s="27"/>
      <c r="AK10" s="15"/>
      <c r="AL10" s="200"/>
      <c r="AM10" s="15"/>
      <c r="AN10" s="536"/>
      <c r="AO10" s="15"/>
      <c r="AP10" s="15"/>
      <c r="AQ10" s="27"/>
      <c r="AR10" s="15"/>
      <c r="AS10" s="498"/>
      <c r="AT10" s="15"/>
      <c r="AU10" s="584"/>
      <c r="AV10" s="71"/>
      <c r="AW10" s="70"/>
      <c r="AX10" s="15"/>
      <c r="AY10" s="15"/>
      <c r="AZ10" s="200"/>
      <c r="BA10" s="27"/>
      <c r="BB10" s="71"/>
      <c r="BC10" s="71"/>
      <c r="BD10" s="70"/>
      <c r="BE10" s="15"/>
      <c r="BF10" s="15"/>
      <c r="BG10" s="200"/>
      <c r="BH10" s="27"/>
      <c r="BJ10" s="13"/>
      <c r="BK10" s="14"/>
      <c r="BL10" s="71"/>
      <c r="BN10" s="13"/>
      <c r="BO10" s="14"/>
      <c r="BP10" s="71"/>
      <c r="BR10" s="15"/>
      <c r="BS10" s="15"/>
      <c r="BT10" s="15"/>
    </row>
    <row r="11" spans="1:72" ht="15.6">
      <c r="A11" s="807"/>
      <c r="B11" s="848"/>
      <c r="D11" s="89" t="s">
        <v>282</v>
      </c>
      <c r="E11" s="74"/>
      <c r="F11" s="89"/>
      <c r="G11" s="89"/>
      <c r="H11" s="759">
        <f>H12</f>
        <v>16</v>
      </c>
      <c r="I11" s="759">
        <f>I12</f>
        <v>16</v>
      </c>
      <c r="J11" s="26"/>
      <c r="K11" s="88">
        <f>K12</f>
        <v>16</v>
      </c>
      <c r="L11" s="1116">
        <f>M11/K11</f>
        <v>600</v>
      </c>
      <c r="M11" s="1105">
        <f>M12</f>
        <v>9600</v>
      </c>
      <c r="N11" s="127"/>
      <c r="O11" s="1124">
        <f>P11/K11</f>
        <v>594.6875</v>
      </c>
      <c r="P11" s="1124">
        <v>9515</v>
      </c>
      <c r="Q11" s="127"/>
      <c r="R11" s="201"/>
      <c r="S11" s="579"/>
      <c r="T11" s="108">
        <f>S6*M11</f>
        <v>10560</v>
      </c>
      <c r="U11" s="101"/>
      <c r="V11" s="101"/>
      <c r="W11" s="201"/>
      <c r="X11" s="579"/>
      <c r="Y11" s="108">
        <f>X6*M11</f>
        <v>12000</v>
      </c>
      <c r="Z11" s="101"/>
      <c r="AA11" s="101"/>
      <c r="AB11" s="201"/>
      <c r="AC11" s="579"/>
      <c r="AD11" s="108">
        <f>AC6*M11</f>
        <v>14400</v>
      </c>
      <c r="AE11" s="101"/>
      <c r="AF11" s="101"/>
      <c r="AG11" s="201"/>
      <c r="AH11" s="891"/>
      <c r="AI11" s="101"/>
      <c r="AJ11" s="176"/>
      <c r="AK11" s="101"/>
      <c r="AL11" s="201"/>
      <c r="AM11" s="101"/>
      <c r="AN11" s="537"/>
      <c r="AO11" s="108">
        <f>AO12</f>
        <v>9600</v>
      </c>
      <c r="AP11" s="101"/>
      <c r="AQ11" s="176"/>
      <c r="AR11" s="101"/>
      <c r="AS11" s="499"/>
      <c r="AT11" s="101"/>
      <c r="AU11" s="127"/>
      <c r="AV11" s="127"/>
      <c r="AW11" s="101"/>
      <c r="AX11" s="108">
        <v>10400</v>
      </c>
      <c r="AY11" s="101"/>
      <c r="AZ11" s="201"/>
      <c r="BA11" s="176"/>
      <c r="BB11" s="127"/>
      <c r="BC11" s="127"/>
      <c r="BD11" s="101"/>
      <c r="BE11" s="108">
        <v>10560</v>
      </c>
      <c r="BF11" s="101"/>
      <c r="BG11" s="201"/>
      <c r="BH11" s="176"/>
      <c r="BJ11" s="10"/>
      <c r="BK11" s="14"/>
      <c r="BL11" s="127"/>
      <c r="BN11" s="128"/>
      <c r="BO11" s="14"/>
      <c r="BP11" s="127"/>
      <c r="BR11" s="88">
        <f>BR12</f>
        <v>16</v>
      </c>
      <c r="BS11" s="107"/>
      <c r="BT11" s="108">
        <f>BT12</f>
        <v>10400</v>
      </c>
    </row>
    <row r="12" spans="1:72" ht="15.6">
      <c r="A12" s="807"/>
      <c r="B12" s="848" t="s">
        <v>425</v>
      </c>
      <c r="D12" s="11"/>
      <c r="E12" s="1" t="s">
        <v>280</v>
      </c>
      <c r="F12" s="11"/>
      <c r="G12" s="11"/>
      <c r="H12" s="753">
        <v>16</v>
      </c>
      <c r="I12" s="753">
        <v>16</v>
      </c>
      <c r="J12" s="753"/>
      <c r="K12" s="106">
        <v>16</v>
      </c>
      <c r="L12" s="1114">
        <v>600</v>
      </c>
      <c r="M12" s="71">
        <f>L12*K12</f>
        <v>9600</v>
      </c>
      <c r="N12" s="71"/>
      <c r="O12" s="1127"/>
      <c r="P12" s="1127"/>
      <c r="Q12" s="71"/>
      <c r="R12" s="200"/>
      <c r="S12" s="561"/>
      <c r="T12" s="70">
        <f>+S6*M12</f>
        <v>10560</v>
      </c>
      <c r="U12" s="70"/>
      <c r="V12" s="70"/>
      <c r="W12" s="200"/>
      <c r="X12" s="561"/>
      <c r="Y12" s="70">
        <f>+X6*M12</f>
        <v>12000</v>
      </c>
      <c r="Z12" s="70"/>
      <c r="AA12" s="70"/>
      <c r="AB12" s="200"/>
      <c r="AC12" s="561"/>
      <c r="AD12" s="70">
        <f>+AC6*M12</f>
        <v>14400</v>
      </c>
      <c r="AE12" s="70"/>
      <c r="AF12" s="70"/>
      <c r="AG12" s="200"/>
      <c r="AH12" s="892"/>
      <c r="AI12" s="70"/>
      <c r="AJ12" s="512">
        <f>MROUND(M12,1000)</f>
        <v>10000</v>
      </c>
      <c r="AK12" s="70"/>
      <c r="AL12" s="200"/>
      <c r="AM12" s="70"/>
      <c r="AN12" s="536"/>
      <c r="AO12" s="598">
        <v>9600</v>
      </c>
      <c r="AP12" s="598"/>
      <c r="AQ12" s="599" t="s">
        <v>163</v>
      </c>
      <c r="AR12" s="598"/>
      <c r="AS12" s="596">
        <f>AO12-T12</f>
        <v>-960</v>
      </c>
      <c r="AT12" s="70"/>
      <c r="AU12" s="71"/>
      <c r="AV12" s="71"/>
      <c r="AW12" s="70"/>
      <c r="AX12" s="70"/>
      <c r="AY12" s="70"/>
      <c r="AZ12" s="200"/>
      <c r="BA12" s="29"/>
      <c r="BB12" s="71"/>
      <c r="BC12" s="71"/>
      <c r="BD12" s="70"/>
      <c r="BE12" s="70"/>
      <c r="BF12" s="70"/>
      <c r="BG12" s="200"/>
      <c r="BH12" s="29"/>
      <c r="BJ12" s="106"/>
      <c r="BK12" s="14"/>
      <c r="BL12" s="71"/>
      <c r="BN12" s="129"/>
      <c r="BO12" s="14"/>
      <c r="BP12" s="71"/>
      <c r="BR12" s="106">
        <v>16</v>
      </c>
      <c r="BS12" s="14">
        <v>650</v>
      </c>
      <c r="BT12" s="70">
        <f>BS12*BR12</f>
        <v>10400</v>
      </c>
    </row>
    <row r="13" spans="1:72" ht="15.6">
      <c r="B13" s="848"/>
      <c r="D13" s="6"/>
      <c r="E13" s="7"/>
      <c r="F13" s="6"/>
      <c r="G13" s="6"/>
      <c r="H13" s="7"/>
      <c r="I13" s="7"/>
      <c r="J13" s="10"/>
      <c r="K13" s="16"/>
      <c r="L13" s="1115"/>
      <c r="M13" s="1089" t="s">
        <v>0</v>
      </c>
      <c r="N13" s="1089"/>
      <c r="O13" s="1128"/>
      <c r="P13" s="1128"/>
      <c r="Q13" s="1089"/>
      <c r="R13" s="202"/>
      <c r="S13" s="562"/>
      <c r="T13" s="11"/>
      <c r="U13" s="11"/>
      <c r="V13" s="11"/>
      <c r="W13" s="202"/>
      <c r="X13" s="11"/>
      <c r="Y13" s="11"/>
      <c r="Z13" s="11"/>
      <c r="AA13" s="11"/>
      <c r="AB13" s="202"/>
      <c r="AC13" s="11"/>
      <c r="AD13" s="11"/>
      <c r="AE13" s="11"/>
      <c r="AF13" s="11"/>
      <c r="AG13" s="202"/>
      <c r="AH13" s="893"/>
      <c r="AI13" s="11"/>
      <c r="AJ13" s="26"/>
      <c r="AK13" s="11"/>
      <c r="AL13" s="202"/>
      <c r="AM13" s="11"/>
      <c r="AN13" s="538"/>
      <c r="AO13" s="11"/>
      <c r="AP13" s="11"/>
      <c r="AQ13" s="26"/>
      <c r="AR13" s="11"/>
      <c r="AS13" s="501"/>
      <c r="AT13" s="11"/>
      <c r="AU13" s="11"/>
      <c r="AV13" s="11"/>
      <c r="AW13" s="11"/>
      <c r="AX13" s="11"/>
      <c r="AY13" s="11"/>
      <c r="AZ13" s="202"/>
      <c r="BA13" s="26"/>
      <c r="BB13" s="11"/>
      <c r="BC13" s="11"/>
      <c r="BD13" s="11"/>
      <c r="BE13" s="11"/>
      <c r="BF13" s="11"/>
      <c r="BG13" s="202"/>
      <c r="BH13" s="26"/>
      <c r="BJ13" s="16"/>
      <c r="BK13" s="6"/>
      <c r="BL13" s="11"/>
      <c r="BN13" s="16"/>
      <c r="BO13" s="6"/>
      <c r="BP13" s="11"/>
      <c r="BR13" s="11"/>
      <c r="BS13" s="11"/>
      <c r="BT13" s="11"/>
    </row>
    <row r="14" spans="1:72" ht="15.6">
      <c r="A14" s="18"/>
      <c r="B14" s="849" t="s">
        <v>554</v>
      </c>
      <c r="C14" s="17" t="s">
        <v>283</v>
      </c>
      <c r="D14" s="17"/>
      <c r="E14" s="18"/>
      <c r="F14" s="17"/>
      <c r="G14" s="17"/>
      <c r="H14" s="18"/>
      <c r="I14" s="18"/>
      <c r="J14" s="10"/>
      <c r="K14" s="19"/>
      <c r="L14" s="20" t="s">
        <v>0</v>
      </c>
      <c r="M14" s="21">
        <f>SUM(M15,M40,M43,M20,M49,M52)+M28+M36</f>
        <v>300700</v>
      </c>
      <c r="N14" s="1087"/>
      <c r="O14" s="1129"/>
      <c r="P14" s="1129">
        <f>SUM(P15:P54)</f>
        <v>304382</v>
      </c>
      <c r="Q14" s="1087" t="s">
        <v>0</v>
      </c>
      <c r="R14" s="203"/>
      <c r="S14" s="563">
        <v>1.1000000000000001</v>
      </c>
      <c r="T14" s="21">
        <f>S14*M14</f>
        <v>330770</v>
      </c>
      <c r="U14" s="21"/>
      <c r="V14" s="21"/>
      <c r="W14" s="203"/>
      <c r="X14" s="563">
        <v>1.25</v>
      </c>
      <c r="Y14" s="21">
        <f>X14*M14</f>
        <v>375875</v>
      </c>
      <c r="Z14" s="21"/>
      <c r="AA14" s="21"/>
      <c r="AB14" s="203"/>
      <c r="AC14" s="563">
        <v>1.5</v>
      </c>
      <c r="AD14" s="21">
        <f>AC14*M14</f>
        <v>451050</v>
      </c>
      <c r="AE14" s="21"/>
      <c r="AF14" s="21"/>
      <c r="AG14" s="203"/>
      <c r="AH14" s="894">
        <f>_xlfn.PERCENTOF(M14,M176)</f>
        <v>0.25753462200563543</v>
      </c>
      <c r="AI14" s="21"/>
      <c r="AJ14" s="513">
        <f>MROUND(M14,1000)</f>
        <v>301000</v>
      </c>
      <c r="AK14" s="21"/>
      <c r="AL14" s="203"/>
      <c r="AM14" s="21"/>
      <c r="AN14" s="539"/>
      <c r="AO14" s="21">
        <f>SUM(AO15,AO40,AO43,AO20,AO49,AO52)+AO28+AO36</f>
        <v>447200</v>
      </c>
      <c r="AP14" s="21"/>
      <c r="AQ14" s="513"/>
      <c r="AR14" s="21"/>
      <c r="AS14" s="167">
        <f>AO14-T14</f>
        <v>116430</v>
      </c>
      <c r="AT14" s="21"/>
      <c r="AU14" s="8"/>
      <c r="AV14" s="8"/>
      <c r="AW14" s="21"/>
      <c r="AX14" s="21">
        <f>SUM(AX15,AX40,AX43,AX20,AX49,AX52)+AX28+AX36</f>
        <v>310650</v>
      </c>
      <c r="AY14" s="21"/>
      <c r="AZ14" s="203"/>
      <c r="BA14" s="177">
        <f>M14-AX14</f>
        <v>-9950</v>
      </c>
      <c r="BB14" s="8"/>
      <c r="BC14" s="8"/>
      <c r="BD14" s="21"/>
      <c r="BE14" s="21">
        <f>SUM(BE15,BE40,BE43,BE20,BE49,BE52)+BE28+BE36</f>
        <v>355300</v>
      </c>
      <c r="BF14" s="21"/>
      <c r="BG14" s="203"/>
      <c r="BH14" s="177">
        <f>M14-BE14</f>
        <v>-54600</v>
      </c>
      <c r="BI14" s="119"/>
      <c r="BJ14" s="16"/>
      <c r="BK14" s="6"/>
      <c r="BL14" s="8"/>
      <c r="BN14" s="16"/>
      <c r="BO14" s="6"/>
      <c r="BP14" s="8"/>
      <c r="BR14" s="19"/>
      <c r="BS14" s="20" t="s">
        <v>0</v>
      </c>
      <c r="BT14" s="21">
        <f>SUM(BT15,BT40,BT43,BT20,BT49,BT52)</f>
        <v>1173950</v>
      </c>
    </row>
    <row r="15" spans="1:72" ht="15.6">
      <c r="A15" s="804"/>
      <c r="B15" s="848" t="s">
        <v>412</v>
      </c>
      <c r="D15" s="876" t="s">
        <v>287</v>
      </c>
      <c r="E15" s="877"/>
      <c r="F15" s="876"/>
      <c r="G15" s="876"/>
      <c r="H15" s="878">
        <f>SUM(H16:H18)</f>
        <v>20</v>
      </c>
      <c r="I15" s="878">
        <f>SUM(I16:I18)</f>
        <v>23</v>
      </c>
      <c r="J15" s="10"/>
      <c r="K15" s="861">
        <f>SUM(K16:K18)</f>
        <v>23</v>
      </c>
      <c r="L15" s="1117">
        <f>M15/K15</f>
        <v>4417.391304347826</v>
      </c>
      <c r="M15" s="863">
        <f>SUM(M16:M18)</f>
        <v>101600</v>
      </c>
      <c r="N15" s="1088"/>
      <c r="O15" s="1124">
        <f>P15/K15</f>
        <v>4592.086956521739</v>
      </c>
      <c r="P15" s="1130">
        <v>105618</v>
      </c>
      <c r="Q15" s="1088"/>
      <c r="R15" s="833"/>
      <c r="S15" s="864"/>
      <c r="T15" s="863">
        <f>S14*M15</f>
        <v>111760.00000000001</v>
      </c>
      <c r="U15" s="832"/>
      <c r="V15" s="832"/>
      <c r="W15" s="833"/>
      <c r="X15" s="864"/>
      <c r="Y15" s="863">
        <f>X14*M15</f>
        <v>127000</v>
      </c>
      <c r="Z15" s="832"/>
      <c r="AA15" s="832"/>
      <c r="AB15" s="833"/>
      <c r="AC15" s="864"/>
      <c r="AD15" s="863">
        <f>AC14*M15</f>
        <v>152400</v>
      </c>
      <c r="AE15" s="832"/>
      <c r="AF15" s="832"/>
      <c r="AG15" s="833"/>
      <c r="AH15" s="895"/>
      <c r="AI15" s="832"/>
      <c r="AJ15" s="513">
        <f>MROUND(M15,1000)</f>
        <v>102000</v>
      </c>
      <c r="AK15" s="832"/>
      <c r="AL15" s="833"/>
      <c r="AM15" s="832"/>
      <c r="AN15" s="534"/>
      <c r="AO15" s="73">
        <f>SUM(AO16:AO18)</f>
        <v>101600</v>
      </c>
      <c r="AP15" s="8"/>
      <c r="AQ15" s="144"/>
      <c r="AR15" s="8"/>
      <c r="AS15" s="497"/>
      <c r="AT15" s="8"/>
      <c r="AU15" s="8"/>
      <c r="AV15" s="8"/>
      <c r="AW15" s="162"/>
      <c r="AX15" s="156">
        <v>114200</v>
      </c>
      <c r="AY15" s="162"/>
      <c r="AZ15" s="204"/>
      <c r="BA15" s="178"/>
      <c r="BB15" s="8"/>
      <c r="BC15" s="8"/>
      <c r="BD15" s="162"/>
      <c r="BE15" s="156">
        <v>160907</v>
      </c>
      <c r="BF15" s="162"/>
      <c r="BG15" s="204"/>
      <c r="BH15" s="178"/>
      <c r="BJ15" s="144"/>
      <c r="BK15" s="6"/>
      <c r="BL15" s="8"/>
      <c r="BN15" s="128"/>
      <c r="BO15" s="6"/>
      <c r="BP15" s="8"/>
      <c r="BR15" s="117" t="e">
        <f>SUM(BR16:BR35)-#REF!</f>
        <v>#REF!</v>
      </c>
      <c r="BS15" s="72" t="s">
        <v>0</v>
      </c>
      <c r="BT15" s="73">
        <f>SUM(BT16:BT35)</f>
        <v>768300</v>
      </c>
    </row>
    <row r="16" spans="1:72" ht="15.6">
      <c r="A16" s="804"/>
      <c r="B16" s="848"/>
      <c r="D16" s="879"/>
      <c r="E16" s="880" t="s">
        <v>11</v>
      </c>
      <c r="F16" s="879"/>
      <c r="G16" s="879"/>
      <c r="H16" s="1178">
        <v>20</v>
      </c>
      <c r="I16" s="1178">
        <v>23</v>
      </c>
      <c r="J16" s="753"/>
      <c r="K16" s="865">
        <v>15</v>
      </c>
      <c r="L16" s="866">
        <v>4200</v>
      </c>
      <c r="M16" s="867">
        <f t="shared" ref="M16:M18" si="0">L16*K16</f>
        <v>63000</v>
      </c>
      <c r="N16" s="1089"/>
      <c r="O16" s="1128"/>
      <c r="P16" s="1128"/>
      <c r="Q16" s="1089"/>
      <c r="R16" s="868"/>
      <c r="S16" s="869"/>
      <c r="T16" s="867">
        <f>S14*M16</f>
        <v>69300</v>
      </c>
      <c r="U16" s="867"/>
      <c r="V16" s="867"/>
      <c r="W16" s="868"/>
      <c r="X16" s="869"/>
      <c r="Y16" s="867">
        <f>X14*M16</f>
        <v>78750</v>
      </c>
      <c r="Z16" s="867"/>
      <c r="AA16" s="867"/>
      <c r="AB16" s="868"/>
      <c r="AC16" s="869"/>
      <c r="AD16" s="867">
        <f>AC14*M16</f>
        <v>94500</v>
      </c>
      <c r="AE16" s="867"/>
      <c r="AF16" s="867"/>
      <c r="AG16" s="868"/>
      <c r="AH16" s="896"/>
      <c r="AI16" s="867"/>
      <c r="AJ16" s="870"/>
      <c r="AK16" s="867"/>
      <c r="AL16" s="868"/>
      <c r="AM16" s="867"/>
      <c r="AN16" s="541"/>
      <c r="AO16" s="600">
        <v>63000</v>
      </c>
      <c r="AP16" s="600"/>
      <c r="AQ16" s="601" t="s">
        <v>453</v>
      </c>
      <c r="AR16" s="600"/>
      <c r="AS16" s="596">
        <f>AO16-T16</f>
        <v>-6300</v>
      </c>
      <c r="AT16" s="25"/>
      <c r="AU16" s="25"/>
      <c r="AV16" s="25"/>
      <c r="AW16" s="157"/>
      <c r="AX16" s="157"/>
      <c r="AY16" s="157"/>
      <c r="AZ16" s="205"/>
      <c r="BA16" s="179"/>
      <c r="BB16" s="25"/>
      <c r="BC16" s="25"/>
      <c r="BD16" s="157"/>
      <c r="BE16" s="157"/>
      <c r="BF16" s="157"/>
      <c r="BG16" s="205"/>
      <c r="BH16" s="179"/>
      <c r="BJ16" s="26"/>
      <c r="BK16" s="113"/>
      <c r="BL16" s="25"/>
      <c r="BN16" s="129"/>
      <c r="BO16" s="113"/>
      <c r="BP16" s="25"/>
      <c r="BR16" s="26">
        <v>18</v>
      </c>
      <c r="BS16" s="113">
        <v>4200</v>
      </c>
      <c r="BT16" s="25">
        <f t="shared" ref="BT16:BT18" si="1">BS16*BR16</f>
        <v>75600</v>
      </c>
    </row>
    <row r="17" spans="1:72" ht="15.6">
      <c r="A17" s="804"/>
      <c r="B17" s="848"/>
      <c r="D17" s="881"/>
      <c r="E17" s="880" t="s">
        <v>34</v>
      </c>
      <c r="F17" s="882"/>
      <c r="G17" s="882"/>
      <c r="H17" s="1178"/>
      <c r="I17" s="1178"/>
      <c r="J17" s="753"/>
      <c r="K17" s="865">
        <v>2</v>
      </c>
      <c r="L17" s="871">
        <v>5200</v>
      </c>
      <c r="M17" s="867">
        <f t="shared" si="0"/>
        <v>10400</v>
      </c>
      <c r="N17" s="1089"/>
      <c r="O17" s="1128"/>
      <c r="P17" s="1128"/>
      <c r="Q17" s="1089"/>
      <c r="R17" s="868"/>
      <c r="S17" s="869"/>
      <c r="T17" s="867">
        <f>S14*M17</f>
        <v>11440.000000000002</v>
      </c>
      <c r="U17" s="867"/>
      <c r="V17" s="867"/>
      <c r="W17" s="868"/>
      <c r="X17" s="869"/>
      <c r="Y17" s="867">
        <f>X14*M17</f>
        <v>13000</v>
      </c>
      <c r="Z17" s="867"/>
      <c r="AA17" s="867"/>
      <c r="AB17" s="868"/>
      <c r="AC17" s="869"/>
      <c r="AD17" s="867">
        <f>AC14*M17</f>
        <v>15600</v>
      </c>
      <c r="AE17" s="867"/>
      <c r="AF17" s="867"/>
      <c r="AG17" s="868"/>
      <c r="AH17" s="896"/>
      <c r="AI17" s="867"/>
      <c r="AJ17" s="870"/>
      <c r="AK17" s="867"/>
      <c r="AL17" s="868"/>
      <c r="AM17" s="867"/>
      <c r="AN17" s="541"/>
      <c r="AO17" s="600">
        <v>10400</v>
      </c>
      <c r="AP17" s="600"/>
      <c r="AQ17" s="601" t="s">
        <v>453</v>
      </c>
      <c r="AR17" s="600"/>
      <c r="AS17" s="596">
        <f>AO17-T17</f>
        <v>-1040.0000000000018</v>
      </c>
      <c r="AT17" s="25"/>
      <c r="AU17" s="25"/>
      <c r="AV17" s="25"/>
      <c r="AW17" s="157"/>
      <c r="AX17" s="157"/>
      <c r="AY17" s="157"/>
      <c r="AZ17" s="205"/>
      <c r="BA17" s="179"/>
      <c r="BB17" s="25"/>
      <c r="BC17" s="25"/>
      <c r="BD17" s="157"/>
      <c r="BE17" s="157"/>
      <c r="BF17" s="157"/>
      <c r="BG17" s="205"/>
      <c r="BH17" s="179"/>
      <c r="BJ17" s="26"/>
      <c r="BK17" s="124"/>
      <c r="BL17" s="25"/>
      <c r="BN17" s="129"/>
      <c r="BO17" s="124"/>
      <c r="BP17" s="25"/>
      <c r="BR17" s="26">
        <v>2</v>
      </c>
      <c r="BS17" s="27">
        <v>5200</v>
      </c>
      <c r="BT17" s="25">
        <f t="shared" si="1"/>
        <v>10400</v>
      </c>
    </row>
    <row r="18" spans="1:72" ht="15.6">
      <c r="A18" s="804"/>
      <c r="B18" s="848"/>
      <c r="D18" s="879"/>
      <c r="E18" s="880" t="s">
        <v>12</v>
      </c>
      <c r="F18" s="879"/>
      <c r="G18" s="879"/>
      <c r="H18" s="1178"/>
      <c r="I18" s="1178"/>
      <c r="J18" s="753"/>
      <c r="K18" s="865">
        <v>6</v>
      </c>
      <c r="L18" s="871">
        <v>4700</v>
      </c>
      <c r="M18" s="867">
        <f t="shared" si="0"/>
        <v>28200</v>
      </c>
      <c r="N18" s="1089"/>
      <c r="O18" s="1128"/>
      <c r="P18" s="1128"/>
      <c r="Q18" s="1089"/>
      <c r="R18" s="868"/>
      <c r="S18" s="869"/>
      <c r="T18" s="867">
        <f>S14*M18</f>
        <v>31020.000000000004</v>
      </c>
      <c r="U18" s="867"/>
      <c r="V18" s="867"/>
      <c r="W18" s="868"/>
      <c r="X18" s="869"/>
      <c r="Y18" s="867">
        <f>X14*M18</f>
        <v>35250</v>
      </c>
      <c r="Z18" s="867"/>
      <c r="AA18" s="867"/>
      <c r="AB18" s="868"/>
      <c r="AC18" s="869"/>
      <c r="AD18" s="867">
        <f>AC14*M18</f>
        <v>42300</v>
      </c>
      <c r="AE18" s="867"/>
      <c r="AF18" s="867"/>
      <c r="AG18" s="868"/>
      <c r="AH18" s="896"/>
      <c r="AI18" s="867"/>
      <c r="AJ18" s="870"/>
      <c r="AK18" s="867"/>
      <c r="AL18" s="868"/>
      <c r="AM18" s="867"/>
      <c r="AN18" s="541"/>
      <c r="AO18" s="600">
        <v>28200</v>
      </c>
      <c r="AP18" s="600"/>
      <c r="AQ18" s="601" t="s">
        <v>453</v>
      </c>
      <c r="AR18" s="600"/>
      <c r="AS18" s="596">
        <f>AO18-T18</f>
        <v>-2820.0000000000036</v>
      </c>
      <c r="AT18" s="25"/>
      <c r="AU18" s="25"/>
      <c r="AV18" s="25"/>
      <c r="AW18" s="157"/>
      <c r="AX18" s="157"/>
      <c r="AY18" s="157"/>
      <c r="AZ18" s="205"/>
      <c r="BA18" s="179"/>
      <c r="BB18" s="25"/>
      <c r="BC18" s="25"/>
      <c r="BD18" s="157"/>
      <c r="BE18" s="157"/>
      <c r="BF18" s="157"/>
      <c r="BG18" s="205"/>
      <c r="BH18" s="179"/>
      <c r="BJ18" s="11" t="s">
        <v>406</v>
      </c>
      <c r="BK18" s="124"/>
      <c r="BL18" s="25"/>
      <c r="BN18" s="129"/>
      <c r="BO18" s="124"/>
      <c r="BP18" s="25"/>
      <c r="BR18" s="26">
        <v>6</v>
      </c>
      <c r="BS18" s="27">
        <v>4700</v>
      </c>
      <c r="BT18" s="25">
        <f t="shared" si="1"/>
        <v>28200</v>
      </c>
    </row>
    <row r="19" spans="1:72" ht="15.6">
      <c r="B19" s="848"/>
      <c r="D19" s="879"/>
      <c r="E19" s="880"/>
      <c r="F19" s="879"/>
      <c r="G19" s="879"/>
      <c r="H19" s="883"/>
      <c r="I19" s="883"/>
      <c r="J19" s="753"/>
      <c r="K19" s="865"/>
      <c r="L19" s="871"/>
      <c r="M19" s="867"/>
      <c r="N19" s="1089"/>
      <c r="O19" s="1128"/>
      <c r="P19" s="1128"/>
      <c r="Q19" s="1089"/>
      <c r="R19" s="868"/>
      <c r="S19" s="869"/>
      <c r="T19" s="867"/>
      <c r="U19" s="867"/>
      <c r="V19" s="867"/>
      <c r="W19" s="868"/>
      <c r="X19" s="869"/>
      <c r="Y19" s="867"/>
      <c r="Z19" s="867"/>
      <c r="AA19" s="867"/>
      <c r="AB19" s="868"/>
      <c r="AC19" s="869"/>
      <c r="AD19" s="867"/>
      <c r="AE19" s="867"/>
      <c r="AF19" s="867"/>
      <c r="AG19" s="868"/>
      <c r="AH19" s="896"/>
      <c r="AI19" s="867"/>
      <c r="AJ19" s="870"/>
      <c r="AK19" s="867"/>
      <c r="AL19" s="868"/>
      <c r="AM19" s="867"/>
      <c r="AN19" s="541"/>
      <c r="AO19" s="25"/>
      <c r="AP19" s="25"/>
      <c r="AQ19" s="180"/>
      <c r="AR19" s="25"/>
      <c r="AS19" s="501"/>
      <c r="AT19" s="25"/>
      <c r="AU19" s="25"/>
      <c r="AV19" s="25"/>
      <c r="AW19" s="157"/>
      <c r="AX19" s="157"/>
      <c r="AY19" s="157"/>
      <c r="AZ19" s="205"/>
      <c r="BA19" s="179"/>
      <c r="BB19" s="25"/>
      <c r="BC19" s="25"/>
      <c r="BD19" s="157"/>
      <c r="BE19" s="157"/>
      <c r="BF19" s="157"/>
      <c r="BG19" s="205"/>
      <c r="BH19" s="179"/>
      <c r="BJ19" s="11"/>
      <c r="BK19" s="124"/>
      <c r="BL19" s="25"/>
      <c r="BN19" s="129"/>
      <c r="BO19" s="124"/>
      <c r="BP19" s="25"/>
      <c r="BR19" s="26"/>
      <c r="BS19" s="27"/>
      <c r="BT19" s="25"/>
    </row>
    <row r="20" spans="1:72" ht="15.6">
      <c r="A20" s="804"/>
      <c r="B20" s="848" t="s">
        <v>415</v>
      </c>
      <c r="D20" s="876" t="s">
        <v>416</v>
      </c>
      <c r="E20" s="862"/>
      <c r="F20" s="876"/>
      <c r="G20" s="876"/>
      <c r="H20" s="884">
        <f>SUM(H21:H33)</f>
        <v>30</v>
      </c>
      <c r="I20" s="884">
        <f>SUM(I21:I33)</f>
        <v>48</v>
      </c>
      <c r="J20" s="32"/>
      <c r="K20" s="861">
        <f>SUM(K21:K26)</f>
        <v>16</v>
      </c>
      <c r="L20" s="1117">
        <f>M20/K20</f>
        <v>1850</v>
      </c>
      <c r="M20" s="863">
        <f>SUM(M21:M26)</f>
        <v>29600</v>
      </c>
      <c r="N20" s="1088"/>
      <c r="O20" s="1124">
        <f>P20/K20</f>
        <v>1927.5</v>
      </c>
      <c r="P20" s="1130">
        <v>30840</v>
      </c>
      <c r="Q20" s="1088"/>
      <c r="R20" s="833"/>
      <c r="S20" s="864"/>
      <c r="T20" s="863">
        <f>S14*M20</f>
        <v>32560.000000000004</v>
      </c>
      <c r="U20" s="832"/>
      <c r="V20" s="832"/>
      <c r="W20" s="833"/>
      <c r="X20" s="864"/>
      <c r="Y20" s="863">
        <f>X14*M20</f>
        <v>37000</v>
      </c>
      <c r="Z20" s="832"/>
      <c r="AA20" s="832"/>
      <c r="AB20" s="833"/>
      <c r="AC20" s="864"/>
      <c r="AD20" s="863">
        <f>AC14*M20</f>
        <v>44400</v>
      </c>
      <c r="AE20" s="832"/>
      <c r="AF20" s="832"/>
      <c r="AG20" s="833"/>
      <c r="AH20" s="895"/>
      <c r="AI20" s="832"/>
      <c r="AJ20" s="513">
        <f>MROUND(M20,1000)</f>
        <v>30000</v>
      </c>
      <c r="AK20" s="832"/>
      <c r="AL20" s="833"/>
      <c r="AM20" s="832"/>
      <c r="AN20" s="534"/>
      <c r="AO20" s="73">
        <f>SUM(AO21:AO33)</f>
        <v>178200</v>
      </c>
      <c r="AP20" s="8"/>
      <c r="AQ20" s="144"/>
      <c r="AR20" s="8"/>
      <c r="AS20" s="497"/>
      <c r="AT20" s="8"/>
      <c r="AU20" s="8"/>
      <c r="AV20" s="8"/>
      <c r="AW20" s="162"/>
      <c r="AX20" s="156">
        <v>29850</v>
      </c>
      <c r="AY20" s="162"/>
      <c r="AZ20" s="204"/>
      <c r="BA20" s="178"/>
      <c r="BB20" s="8"/>
      <c r="BC20" s="8"/>
      <c r="BD20" s="162"/>
      <c r="BE20" s="156">
        <v>27005</v>
      </c>
      <c r="BF20" s="162"/>
      <c r="BG20" s="204"/>
      <c r="BH20" s="178"/>
      <c r="BJ20" s="10"/>
      <c r="BK20" s="124"/>
      <c r="BL20" s="8"/>
      <c r="BN20" s="128"/>
      <c r="BO20" s="124"/>
      <c r="BP20" s="8"/>
      <c r="BR20" s="88">
        <f>SUM(BR21:BR33)</f>
        <v>230</v>
      </c>
      <c r="BS20" s="111"/>
      <c r="BT20" s="73">
        <f>SUM(BT21:BT33)</f>
        <v>327050</v>
      </c>
    </row>
    <row r="21" spans="1:72" ht="15.6">
      <c r="A21" s="804"/>
      <c r="B21" s="848"/>
      <c r="D21" s="885"/>
      <c r="E21" s="880" t="s">
        <v>17</v>
      </c>
      <c r="F21" s="885"/>
      <c r="G21" s="885"/>
      <c r="H21" s="886">
        <v>2</v>
      </c>
      <c r="I21" s="886">
        <v>3</v>
      </c>
      <c r="J21" s="9"/>
      <c r="K21" s="865">
        <v>3</v>
      </c>
      <c r="L21" s="872">
        <v>1850</v>
      </c>
      <c r="M21" s="867">
        <f t="shared" ref="M21:M26" si="2">L21*K21</f>
        <v>5550</v>
      </c>
      <c r="N21" s="1089"/>
      <c r="O21" s="1128"/>
      <c r="P21" s="1128"/>
      <c r="Q21" s="1089"/>
      <c r="R21" s="868"/>
      <c r="S21" s="869"/>
      <c r="T21" s="867">
        <f>S14*M21</f>
        <v>6105.0000000000009</v>
      </c>
      <c r="U21" s="867"/>
      <c r="V21" s="867"/>
      <c r="W21" s="868"/>
      <c r="X21" s="869"/>
      <c r="Y21" s="867">
        <f>X14*M21</f>
        <v>6937.5</v>
      </c>
      <c r="Z21" s="867"/>
      <c r="AA21" s="867"/>
      <c r="AB21" s="868"/>
      <c r="AC21" s="869"/>
      <c r="AD21" s="867">
        <f>AC14*M21</f>
        <v>8325</v>
      </c>
      <c r="AE21" s="867"/>
      <c r="AF21" s="867"/>
      <c r="AG21" s="868"/>
      <c r="AH21" s="896"/>
      <c r="AI21" s="867"/>
      <c r="AJ21" s="870"/>
      <c r="AK21" s="867"/>
      <c r="AL21" s="868"/>
      <c r="AM21" s="867"/>
      <c r="AN21" s="541"/>
      <c r="AO21" s="600">
        <v>5550</v>
      </c>
      <c r="AP21" s="600"/>
      <c r="AQ21" s="601" t="s">
        <v>165</v>
      </c>
      <c r="AR21" s="600"/>
      <c r="AS21" s="596">
        <f t="shared" ref="AS21:AS26" si="3">AO21-T21</f>
        <v>-555.00000000000091</v>
      </c>
      <c r="AT21" s="25"/>
      <c r="AU21" s="25"/>
      <c r="AV21" s="25"/>
      <c r="AW21" s="157"/>
      <c r="AX21" s="157"/>
      <c r="AY21" s="157"/>
      <c r="AZ21" s="205"/>
      <c r="BA21" s="179"/>
      <c r="BB21" s="25"/>
      <c r="BC21" s="25"/>
      <c r="BD21" s="157"/>
      <c r="BE21" s="157"/>
      <c r="BF21" s="157"/>
      <c r="BG21" s="205"/>
      <c r="BH21" s="179"/>
      <c r="BJ21" s="11"/>
      <c r="BK21" s="124"/>
      <c r="BL21" s="25"/>
      <c r="BN21" s="129"/>
      <c r="BO21" s="124"/>
      <c r="BP21" s="25"/>
      <c r="BR21" s="26">
        <v>3</v>
      </c>
      <c r="BS21" s="27">
        <v>1750</v>
      </c>
      <c r="BT21" s="25">
        <f t="shared" ref="BT21:BT26" si="4">BS21*BR21</f>
        <v>5250</v>
      </c>
    </row>
    <row r="22" spans="1:72" ht="15.6">
      <c r="A22" s="804"/>
      <c r="B22" s="848"/>
      <c r="D22" s="885"/>
      <c r="E22" s="880" t="s">
        <v>18</v>
      </c>
      <c r="F22" s="885"/>
      <c r="G22" s="885"/>
      <c r="H22" s="886">
        <v>2</v>
      </c>
      <c r="I22" s="886">
        <v>2</v>
      </c>
      <c r="J22" s="9"/>
      <c r="K22" s="873">
        <v>2</v>
      </c>
      <c r="L22" s="872">
        <v>1850</v>
      </c>
      <c r="M22" s="867">
        <f t="shared" si="2"/>
        <v>3700</v>
      </c>
      <c r="N22" s="1089"/>
      <c r="O22" s="1128"/>
      <c r="P22" s="1128"/>
      <c r="Q22" s="1089"/>
      <c r="R22" s="868"/>
      <c r="S22" s="869"/>
      <c r="T22" s="867">
        <f>S14*M22</f>
        <v>4070.0000000000005</v>
      </c>
      <c r="U22" s="867"/>
      <c r="V22" s="867"/>
      <c r="W22" s="868"/>
      <c r="X22" s="869"/>
      <c r="Y22" s="867">
        <f>X14*M22</f>
        <v>4625</v>
      </c>
      <c r="Z22" s="867"/>
      <c r="AA22" s="867"/>
      <c r="AB22" s="868"/>
      <c r="AC22" s="869"/>
      <c r="AD22" s="867">
        <f>AC14*M22</f>
        <v>5550</v>
      </c>
      <c r="AE22" s="867"/>
      <c r="AF22" s="867"/>
      <c r="AG22" s="868"/>
      <c r="AH22" s="896"/>
      <c r="AI22" s="867"/>
      <c r="AJ22" s="870"/>
      <c r="AK22" s="867"/>
      <c r="AL22" s="868"/>
      <c r="AM22" s="867"/>
      <c r="AN22" s="541"/>
      <c r="AO22" s="600">
        <v>3700</v>
      </c>
      <c r="AP22" s="600"/>
      <c r="AQ22" s="601" t="s">
        <v>165</v>
      </c>
      <c r="AR22" s="600"/>
      <c r="AS22" s="596">
        <f t="shared" si="3"/>
        <v>-370.00000000000045</v>
      </c>
      <c r="AT22" s="25"/>
      <c r="AU22" s="25"/>
      <c r="AV22" s="25"/>
      <c r="AW22" s="157"/>
      <c r="AX22" s="157"/>
      <c r="AY22" s="157"/>
      <c r="AZ22" s="205"/>
      <c r="BA22" s="179"/>
      <c r="BB22" s="25"/>
      <c r="BC22" s="25"/>
      <c r="BD22" s="157"/>
      <c r="BE22" s="157"/>
      <c r="BF22" s="157"/>
      <c r="BG22" s="205"/>
      <c r="BH22" s="179"/>
      <c r="BJ22" s="11"/>
      <c r="BK22" s="124"/>
      <c r="BL22" s="25"/>
      <c r="BN22" s="129"/>
      <c r="BO22" s="124"/>
      <c r="BP22" s="25"/>
      <c r="BR22" s="28">
        <v>2</v>
      </c>
      <c r="BS22" s="27">
        <v>1750</v>
      </c>
      <c r="BT22" s="25">
        <f t="shared" si="4"/>
        <v>3500</v>
      </c>
    </row>
    <row r="23" spans="1:72" ht="15.6">
      <c r="A23" s="804"/>
      <c r="B23" s="848"/>
      <c r="D23" s="885"/>
      <c r="E23" s="880" t="s">
        <v>19</v>
      </c>
      <c r="F23" s="885"/>
      <c r="G23" s="885"/>
      <c r="H23" s="886">
        <v>1</v>
      </c>
      <c r="I23" s="886">
        <v>1</v>
      </c>
      <c r="J23" s="9"/>
      <c r="K23" s="873">
        <v>1</v>
      </c>
      <c r="L23" s="872">
        <v>1850</v>
      </c>
      <c r="M23" s="867">
        <f t="shared" si="2"/>
        <v>1850</v>
      </c>
      <c r="N23" s="1089"/>
      <c r="O23" s="1128"/>
      <c r="P23" s="1128"/>
      <c r="Q23" s="1089"/>
      <c r="R23" s="868"/>
      <c r="S23" s="869"/>
      <c r="T23" s="867">
        <f>S14*M23</f>
        <v>2035.0000000000002</v>
      </c>
      <c r="U23" s="867"/>
      <c r="V23" s="867"/>
      <c r="W23" s="868"/>
      <c r="X23" s="869"/>
      <c r="Y23" s="867">
        <f>X14*M23</f>
        <v>2312.5</v>
      </c>
      <c r="Z23" s="867"/>
      <c r="AA23" s="867"/>
      <c r="AB23" s="868"/>
      <c r="AC23" s="869"/>
      <c r="AD23" s="867">
        <f>AC14*M23</f>
        <v>2775</v>
      </c>
      <c r="AE23" s="867"/>
      <c r="AF23" s="867"/>
      <c r="AG23" s="868"/>
      <c r="AH23" s="896"/>
      <c r="AI23" s="867"/>
      <c r="AJ23" s="870"/>
      <c r="AK23" s="867"/>
      <c r="AL23" s="868"/>
      <c r="AM23" s="867"/>
      <c r="AN23" s="541"/>
      <c r="AO23" s="600">
        <v>1850</v>
      </c>
      <c r="AP23" s="600"/>
      <c r="AQ23" s="601" t="s">
        <v>165</v>
      </c>
      <c r="AR23" s="600"/>
      <c r="AS23" s="596">
        <f t="shared" si="3"/>
        <v>-185.00000000000023</v>
      </c>
      <c r="AT23" s="25"/>
      <c r="AU23" s="25"/>
      <c r="AV23" s="25"/>
      <c r="AW23" s="157"/>
      <c r="AX23" s="157"/>
      <c r="AY23" s="157"/>
      <c r="AZ23" s="205"/>
      <c r="BA23" s="179"/>
      <c r="BB23" s="25"/>
      <c r="BC23" s="25"/>
      <c r="BD23" s="157"/>
      <c r="BE23" s="157"/>
      <c r="BF23" s="157"/>
      <c r="BG23" s="205"/>
      <c r="BH23" s="179"/>
      <c r="BJ23" s="11"/>
      <c r="BK23" s="124"/>
      <c r="BL23" s="25"/>
      <c r="BN23" s="129"/>
      <c r="BO23" s="124"/>
      <c r="BP23" s="25"/>
      <c r="BR23" s="28">
        <v>1</v>
      </c>
      <c r="BS23" s="27">
        <v>1750</v>
      </c>
      <c r="BT23" s="25">
        <f t="shared" si="4"/>
        <v>1750</v>
      </c>
    </row>
    <row r="24" spans="1:72" ht="15.6">
      <c r="A24" s="804"/>
      <c r="B24" s="848"/>
      <c r="D24" s="885"/>
      <c r="E24" s="880" t="s">
        <v>20</v>
      </c>
      <c r="F24" s="885"/>
      <c r="G24" s="885"/>
      <c r="H24" s="886">
        <v>2</v>
      </c>
      <c r="I24" s="886">
        <v>3</v>
      </c>
      <c r="J24" s="9"/>
      <c r="K24" s="865">
        <v>3</v>
      </c>
      <c r="L24" s="872">
        <v>1850</v>
      </c>
      <c r="M24" s="867">
        <f t="shared" si="2"/>
        <v>5550</v>
      </c>
      <c r="N24" s="1089"/>
      <c r="O24" s="1128"/>
      <c r="P24" s="1128"/>
      <c r="Q24" s="1089"/>
      <c r="R24" s="868"/>
      <c r="S24" s="869"/>
      <c r="T24" s="867">
        <f>S14*M24</f>
        <v>6105.0000000000009</v>
      </c>
      <c r="U24" s="867"/>
      <c r="V24" s="867"/>
      <c r="W24" s="868"/>
      <c r="X24" s="869"/>
      <c r="Y24" s="867">
        <f>X14*M24</f>
        <v>6937.5</v>
      </c>
      <c r="Z24" s="867"/>
      <c r="AA24" s="867"/>
      <c r="AB24" s="868"/>
      <c r="AC24" s="869"/>
      <c r="AD24" s="867">
        <f>AC14*M24</f>
        <v>8325</v>
      </c>
      <c r="AE24" s="867"/>
      <c r="AF24" s="867"/>
      <c r="AG24" s="868"/>
      <c r="AH24" s="896"/>
      <c r="AI24" s="867"/>
      <c r="AJ24" s="870"/>
      <c r="AK24" s="867"/>
      <c r="AL24" s="868"/>
      <c r="AM24" s="867"/>
      <c r="AN24" s="541"/>
      <c r="AO24" s="600">
        <v>5550</v>
      </c>
      <c r="AP24" s="600"/>
      <c r="AQ24" s="601" t="s">
        <v>165</v>
      </c>
      <c r="AR24" s="600"/>
      <c r="AS24" s="596">
        <f t="shared" si="3"/>
        <v>-555.00000000000091</v>
      </c>
      <c r="AT24" s="25"/>
      <c r="AU24" s="25"/>
      <c r="AV24" s="25"/>
      <c r="AW24" s="157"/>
      <c r="AX24" s="157"/>
      <c r="AY24" s="157"/>
      <c r="AZ24" s="205"/>
      <c r="BA24" s="179"/>
      <c r="BB24" s="25"/>
      <c r="BC24" s="25"/>
      <c r="BD24" s="157"/>
      <c r="BE24" s="157"/>
      <c r="BF24" s="157"/>
      <c r="BG24" s="205"/>
      <c r="BH24" s="179"/>
      <c r="BJ24" s="11"/>
      <c r="BK24" s="124"/>
      <c r="BL24" s="25"/>
      <c r="BN24" s="129"/>
      <c r="BO24" s="124"/>
      <c r="BP24" s="25"/>
      <c r="BR24" s="26">
        <v>3</v>
      </c>
      <c r="BS24" s="27">
        <v>1500</v>
      </c>
      <c r="BT24" s="25">
        <f t="shared" si="4"/>
        <v>4500</v>
      </c>
    </row>
    <row r="25" spans="1:72" ht="15.6">
      <c r="A25" s="804"/>
      <c r="B25" s="848"/>
      <c r="D25" s="885"/>
      <c r="E25" s="880" t="s">
        <v>21</v>
      </c>
      <c r="F25" s="885"/>
      <c r="G25" s="885"/>
      <c r="H25" s="886">
        <v>3</v>
      </c>
      <c r="I25" s="886">
        <v>4</v>
      </c>
      <c r="J25" s="9"/>
      <c r="K25" s="865">
        <v>4</v>
      </c>
      <c r="L25" s="872">
        <v>1850</v>
      </c>
      <c r="M25" s="867">
        <f t="shared" si="2"/>
        <v>7400</v>
      </c>
      <c r="N25" s="1089"/>
      <c r="O25" s="1128"/>
      <c r="P25" s="1128"/>
      <c r="Q25" s="1089"/>
      <c r="R25" s="868"/>
      <c r="S25" s="869"/>
      <c r="T25" s="867">
        <f>S14*M25</f>
        <v>8140.0000000000009</v>
      </c>
      <c r="U25" s="867"/>
      <c r="V25" s="867"/>
      <c r="W25" s="868"/>
      <c r="X25" s="869"/>
      <c r="Y25" s="867">
        <f>X14*M25</f>
        <v>9250</v>
      </c>
      <c r="Z25" s="867"/>
      <c r="AA25" s="867"/>
      <c r="AB25" s="868"/>
      <c r="AC25" s="869"/>
      <c r="AD25" s="867">
        <f>AC14*M25</f>
        <v>11100</v>
      </c>
      <c r="AE25" s="867"/>
      <c r="AF25" s="867"/>
      <c r="AG25" s="868"/>
      <c r="AH25" s="896"/>
      <c r="AI25" s="867"/>
      <c r="AJ25" s="870"/>
      <c r="AK25" s="867"/>
      <c r="AL25" s="868"/>
      <c r="AM25" s="867"/>
      <c r="AN25" s="541"/>
      <c r="AO25" s="600">
        <v>7400</v>
      </c>
      <c r="AP25" s="600"/>
      <c r="AQ25" s="601" t="s">
        <v>165</v>
      </c>
      <c r="AR25" s="600"/>
      <c r="AS25" s="596">
        <f t="shared" si="3"/>
        <v>-740.00000000000091</v>
      </c>
      <c r="AT25" s="25"/>
      <c r="AU25" s="25"/>
      <c r="AV25" s="25"/>
      <c r="AW25" s="157"/>
      <c r="AX25" s="157"/>
      <c r="AY25" s="157"/>
      <c r="AZ25" s="205"/>
      <c r="BA25" s="179"/>
      <c r="BB25" s="25"/>
      <c r="BC25" s="25"/>
      <c r="BD25" s="157"/>
      <c r="BE25" s="157"/>
      <c r="BF25" s="157"/>
      <c r="BG25" s="205"/>
      <c r="BH25" s="179"/>
      <c r="BJ25" s="11"/>
      <c r="BK25" s="124"/>
      <c r="BL25" s="25"/>
      <c r="BN25" s="129"/>
      <c r="BO25" s="124"/>
      <c r="BP25" s="25"/>
      <c r="BR25" s="26">
        <v>4</v>
      </c>
      <c r="BS25" s="27">
        <v>1750</v>
      </c>
      <c r="BT25" s="25">
        <f t="shared" si="4"/>
        <v>7000</v>
      </c>
    </row>
    <row r="26" spans="1:72" ht="15.6">
      <c r="A26" s="804"/>
      <c r="B26" s="848"/>
      <c r="D26" s="885"/>
      <c r="E26" s="880" t="s">
        <v>22</v>
      </c>
      <c r="F26" s="885"/>
      <c r="G26" s="885"/>
      <c r="H26" s="886">
        <v>2</v>
      </c>
      <c r="I26" s="886">
        <v>3</v>
      </c>
      <c r="J26" s="9"/>
      <c r="K26" s="865">
        <v>3</v>
      </c>
      <c r="L26" s="872">
        <v>1850</v>
      </c>
      <c r="M26" s="867">
        <f t="shared" si="2"/>
        <v>5550</v>
      </c>
      <c r="N26" s="1089"/>
      <c r="O26" s="1128"/>
      <c r="P26" s="1128"/>
      <c r="Q26" s="1089"/>
      <c r="R26" s="868"/>
      <c r="S26" s="869"/>
      <c r="T26" s="867">
        <f>S14*M26</f>
        <v>6105.0000000000009</v>
      </c>
      <c r="U26" s="867"/>
      <c r="V26" s="867"/>
      <c r="W26" s="868"/>
      <c r="X26" s="869"/>
      <c r="Y26" s="867">
        <f>X14*M26</f>
        <v>6937.5</v>
      </c>
      <c r="Z26" s="867"/>
      <c r="AA26" s="867"/>
      <c r="AB26" s="868"/>
      <c r="AC26" s="869"/>
      <c r="AD26" s="867">
        <f>AC14*M26</f>
        <v>8325</v>
      </c>
      <c r="AE26" s="867"/>
      <c r="AF26" s="867"/>
      <c r="AG26" s="868"/>
      <c r="AH26" s="896"/>
      <c r="AI26" s="867"/>
      <c r="AJ26" s="870"/>
      <c r="AK26" s="867"/>
      <c r="AL26" s="868"/>
      <c r="AM26" s="867"/>
      <c r="AN26" s="541"/>
      <c r="AO26" s="600">
        <v>5550</v>
      </c>
      <c r="AP26" s="600"/>
      <c r="AQ26" s="601" t="s">
        <v>165</v>
      </c>
      <c r="AR26" s="600"/>
      <c r="AS26" s="596">
        <f t="shared" si="3"/>
        <v>-555.00000000000091</v>
      </c>
      <c r="AT26" s="25"/>
      <c r="AU26" s="25"/>
      <c r="AV26" s="25"/>
      <c r="AW26" s="157"/>
      <c r="AX26" s="157"/>
      <c r="AY26" s="157"/>
      <c r="AZ26" s="205"/>
      <c r="BA26" s="179"/>
      <c r="BB26" s="25"/>
      <c r="BC26" s="25"/>
      <c r="BD26" s="157"/>
      <c r="BE26" s="157"/>
      <c r="BF26" s="157"/>
      <c r="BG26" s="205"/>
      <c r="BH26" s="179"/>
      <c r="BJ26" s="11"/>
      <c r="BK26" s="124"/>
      <c r="BL26" s="25"/>
      <c r="BN26" s="129"/>
      <c r="BO26" s="124"/>
      <c r="BP26" s="25"/>
      <c r="BR26" s="26">
        <v>3</v>
      </c>
      <c r="BS26" s="27">
        <v>1750</v>
      </c>
      <c r="BT26" s="25">
        <f t="shared" si="4"/>
        <v>5250</v>
      </c>
    </row>
    <row r="27" spans="1:72" ht="15" customHeight="1">
      <c r="B27" s="848"/>
      <c r="D27" s="885"/>
      <c r="E27" s="887"/>
      <c r="F27" s="885"/>
      <c r="G27" s="885"/>
      <c r="H27" s="886"/>
      <c r="I27" s="886"/>
      <c r="J27" s="9"/>
      <c r="K27" s="874"/>
      <c r="L27" s="871"/>
      <c r="M27" s="867"/>
      <c r="N27" s="1089"/>
      <c r="O27" s="1128"/>
      <c r="P27" s="1128"/>
      <c r="Q27" s="1089"/>
      <c r="R27" s="868"/>
      <c r="S27" s="869"/>
      <c r="T27" s="867"/>
      <c r="U27" s="867"/>
      <c r="V27" s="867"/>
      <c r="W27" s="868"/>
      <c r="X27" s="869"/>
      <c r="Y27" s="867"/>
      <c r="Z27" s="867"/>
      <c r="AA27" s="867"/>
      <c r="AB27" s="868"/>
      <c r="AC27" s="869"/>
      <c r="AD27" s="867"/>
      <c r="AE27" s="867"/>
      <c r="AF27" s="867"/>
      <c r="AG27" s="868"/>
      <c r="AH27" s="896"/>
      <c r="AI27" s="867"/>
      <c r="AJ27" s="870"/>
      <c r="AK27" s="867"/>
      <c r="AL27" s="868"/>
      <c r="AM27" s="867"/>
      <c r="AN27" s="541"/>
      <c r="AO27" s="25"/>
      <c r="AP27" s="25"/>
      <c r="AQ27" s="180"/>
      <c r="AR27" s="25"/>
      <c r="AS27" s="501"/>
      <c r="AT27" s="25"/>
      <c r="AU27" s="25"/>
      <c r="AV27" s="25"/>
      <c r="AW27" s="157"/>
      <c r="AX27" s="157"/>
      <c r="AY27" s="157"/>
      <c r="AZ27" s="205"/>
      <c r="BA27" s="179"/>
      <c r="BB27" s="25"/>
      <c r="BC27" s="25"/>
      <c r="BD27" s="157"/>
      <c r="BE27" s="157"/>
      <c r="BF27" s="157"/>
      <c r="BG27" s="205"/>
      <c r="BH27" s="179"/>
      <c r="BJ27" s="11"/>
      <c r="BK27" s="124"/>
      <c r="BL27" s="25"/>
      <c r="BN27" s="129"/>
      <c r="BO27" s="124"/>
      <c r="BP27" s="25"/>
      <c r="BR27" s="26"/>
      <c r="BS27" s="27"/>
      <c r="BT27" s="25"/>
    </row>
    <row r="28" spans="1:72" ht="15.6">
      <c r="A28" s="804"/>
      <c r="B28" s="848" t="s">
        <v>419</v>
      </c>
      <c r="D28" s="876" t="s">
        <v>420</v>
      </c>
      <c r="E28" s="877"/>
      <c r="F28" s="876"/>
      <c r="G28" s="876"/>
      <c r="H28" s="878">
        <f>SUM(H29:H32)</f>
        <v>9</v>
      </c>
      <c r="I28" s="878">
        <f>SUM(I29:I32)</f>
        <v>16</v>
      </c>
      <c r="J28" s="10"/>
      <c r="K28" s="861">
        <f>SUM(K29:K32)</f>
        <v>16</v>
      </c>
      <c r="L28" s="1117">
        <f>M28/K28</f>
        <v>4725</v>
      </c>
      <c r="M28" s="863">
        <f>SUM(M29:M33)</f>
        <v>75600</v>
      </c>
      <c r="N28" s="1088"/>
      <c r="O28" s="1124">
        <f>P28/K28</f>
        <v>5073</v>
      </c>
      <c r="P28" s="1130">
        <f>37144+44024</f>
        <v>81168</v>
      </c>
      <c r="Q28" s="1088"/>
      <c r="R28" s="833"/>
      <c r="S28" s="864"/>
      <c r="T28" s="863">
        <f>S14*M28</f>
        <v>83160</v>
      </c>
      <c r="U28" s="832"/>
      <c r="V28" s="832"/>
      <c r="W28" s="833"/>
      <c r="X28" s="864"/>
      <c r="Y28" s="863">
        <f>X14*M28</f>
        <v>94500</v>
      </c>
      <c r="Z28" s="832"/>
      <c r="AA28" s="832"/>
      <c r="AB28" s="833"/>
      <c r="AC28" s="864"/>
      <c r="AD28" s="863">
        <f>AC14*M28</f>
        <v>113400</v>
      </c>
      <c r="AE28" s="832"/>
      <c r="AF28" s="832"/>
      <c r="AG28" s="833"/>
      <c r="AH28" s="895"/>
      <c r="AI28" s="832"/>
      <c r="AJ28" s="513">
        <f>MROUND(M28,1000)</f>
        <v>76000</v>
      </c>
      <c r="AK28" s="832"/>
      <c r="AL28" s="833"/>
      <c r="AM28" s="832"/>
      <c r="AN28" s="534"/>
      <c r="AO28" s="73">
        <f>SUM(AO29:AO32)</f>
        <v>73000</v>
      </c>
      <c r="AP28" s="8"/>
      <c r="AQ28" s="144"/>
      <c r="AR28" s="8"/>
      <c r="AS28" s="497"/>
      <c r="AT28" s="8"/>
      <c r="AU28" s="8"/>
      <c r="AV28" s="8"/>
      <c r="AW28" s="162"/>
      <c r="AX28" s="156">
        <v>73000</v>
      </c>
      <c r="AY28" s="162"/>
      <c r="AZ28" s="204"/>
      <c r="BA28" s="178"/>
      <c r="BB28" s="8"/>
      <c r="BC28" s="8"/>
      <c r="BD28" s="162"/>
      <c r="BE28" s="156">
        <v>50101</v>
      </c>
      <c r="BF28" s="162"/>
      <c r="BG28" s="204"/>
      <c r="BH28" s="178"/>
      <c r="BJ28" s="144" t="s">
        <v>0</v>
      </c>
      <c r="BK28" s="6"/>
      <c r="BL28" s="8"/>
      <c r="BN28" s="128"/>
      <c r="BO28" s="6"/>
      <c r="BP28" s="8"/>
      <c r="BR28" s="117">
        <f>SUM(BR29:BR41)-BR32</f>
        <v>191</v>
      </c>
      <c r="BS28" s="72" t="s">
        <v>0</v>
      </c>
      <c r="BT28" s="73">
        <f>SUM(BT29:BT41)</f>
        <v>224200</v>
      </c>
    </row>
    <row r="29" spans="1:72" ht="15.6">
      <c r="A29" s="804"/>
      <c r="B29" s="848"/>
      <c r="D29" s="879"/>
      <c r="E29" s="880" t="s">
        <v>450</v>
      </c>
      <c r="F29" s="879"/>
      <c r="G29" s="879"/>
      <c r="H29" s="886">
        <v>6</v>
      </c>
      <c r="I29" s="886">
        <v>8</v>
      </c>
      <c r="J29" s="9"/>
      <c r="K29" s="873">
        <v>8</v>
      </c>
      <c r="L29" s="871">
        <v>4700</v>
      </c>
      <c r="M29" s="867">
        <f t="shared" ref="M29:M32" si="5">L29*K29</f>
        <v>37600</v>
      </c>
      <c r="N29" s="1089"/>
      <c r="O29" s="1128"/>
      <c r="P29" s="1128"/>
      <c r="Q29" s="1089"/>
      <c r="R29" s="868"/>
      <c r="S29" s="869"/>
      <c r="T29" s="867">
        <f>S14*M29</f>
        <v>41360</v>
      </c>
      <c r="U29" s="867"/>
      <c r="V29" s="867"/>
      <c r="W29" s="868"/>
      <c r="X29" s="869"/>
      <c r="Y29" s="867">
        <f>X14*M29</f>
        <v>47000</v>
      </c>
      <c r="Z29" s="867"/>
      <c r="AA29" s="867"/>
      <c r="AB29" s="868"/>
      <c r="AC29" s="869"/>
      <c r="AD29" s="867">
        <f>AC14*M29</f>
        <v>56400</v>
      </c>
      <c r="AE29" s="867"/>
      <c r="AF29" s="867"/>
      <c r="AG29" s="868"/>
      <c r="AH29" s="896"/>
      <c r="AI29" s="867"/>
      <c r="AJ29" s="870"/>
      <c r="AK29" s="867"/>
      <c r="AL29" s="868"/>
      <c r="AM29" s="867"/>
      <c r="AN29" s="541"/>
      <c r="AO29" s="600">
        <v>37600</v>
      </c>
      <c r="AP29" s="600"/>
      <c r="AQ29" s="601" t="s">
        <v>165</v>
      </c>
      <c r="AR29" s="600"/>
      <c r="AS29" s="596">
        <f>AO29-T29</f>
        <v>-3760</v>
      </c>
      <c r="AT29" s="25"/>
      <c r="AU29" s="25"/>
      <c r="AV29" s="25"/>
      <c r="AW29" s="157"/>
      <c r="AX29" s="157"/>
      <c r="AY29" s="157"/>
      <c r="AZ29" s="205"/>
      <c r="BA29" s="179"/>
      <c r="BB29" s="25"/>
      <c r="BC29" s="25"/>
      <c r="BD29" s="157"/>
      <c r="BE29" s="157"/>
      <c r="BF29" s="157"/>
      <c r="BG29" s="205"/>
      <c r="BH29" s="179"/>
      <c r="BJ29" s="11"/>
      <c r="BK29" s="140"/>
      <c r="BL29" s="25"/>
      <c r="BN29" s="129"/>
      <c r="BO29" s="124"/>
      <c r="BP29" s="25"/>
      <c r="BR29" s="28">
        <v>8</v>
      </c>
      <c r="BS29" s="27">
        <v>4700</v>
      </c>
      <c r="BT29" s="25">
        <f>BS29*BR29</f>
        <v>37600</v>
      </c>
    </row>
    <row r="30" spans="1:72" ht="15.6">
      <c r="A30" s="804"/>
      <c r="B30" s="848"/>
      <c r="D30" s="879"/>
      <c r="E30" s="880" t="s">
        <v>14</v>
      </c>
      <c r="F30" s="879"/>
      <c r="G30" s="879"/>
      <c r="H30" s="886">
        <v>2</v>
      </c>
      <c r="I30" s="886">
        <v>6</v>
      </c>
      <c r="J30" s="9"/>
      <c r="K30" s="873">
        <v>6</v>
      </c>
      <c r="L30" s="875">
        <v>4700</v>
      </c>
      <c r="M30" s="867">
        <f t="shared" si="5"/>
        <v>28200</v>
      </c>
      <c r="N30" s="1089"/>
      <c r="O30" s="1128"/>
      <c r="P30" s="1128"/>
      <c r="Q30" s="1089"/>
      <c r="R30" s="868"/>
      <c r="S30" s="869"/>
      <c r="T30" s="867">
        <f>S14*M30</f>
        <v>31020.000000000004</v>
      </c>
      <c r="U30" s="867"/>
      <c r="V30" s="867"/>
      <c r="W30" s="868"/>
      <c r="X30" s="869"/>
      <c r="Y30" s="867">
        <f>X14*M30</f>
        <v>35250</v>
      </c>
      <c r="Z30" s="867"/>
      <c r="AA30" s="867"/>
      <c r="AB30" s="868"/>
      <c r="AC30" s="869"/>
      <c r="AD30" s="867">
        <f>AC14*M30</f>
        <v>42300</v>
      </c>
      <c r="AE30" s="867"/>
      <c r="AF30" s="867"/>
      <c r="AG30" s="868"/>
      <c r="AH30" s="896"/>
      <c r="AI30" s="867"/>
      <c r="AJ30" s="870"/>
      <c r="AK30" s="867"/>
      <c r="AL30" s="868"/>
      <c r="AM30" s="867"/>
      <c r="AN30" s="541"/>
      <c r="AO30" s="600">
        <v>28200</v>
      </c>
      <c r="AP30" s="600"/>
      <c r="AQ30" s="601" t="s">
        <v>165</v>
      </c>
      <c r="AR30" s="600"/>
      <c r="AS30" s="596">
        <f>AO30-T30</f>
        <v>-2820.0000000000036</v>
      </c>
      <c r="AT30" s="25"/>
      <c r="AU30" s="25"/>
      <c r="AV30" s="25"/>
      <c r="AW30" s="157"/>
      <c r="AX30" s="157"/>
      <c r="AY30" s="157"/>
      <c r="AZ30" s="205"/>
      <c r="BA30" s="179"/>
      <c r="BB30" s="25"/>
      <c r="BC30" s="25"/>
      <c r="BD30" s="157"/>
      <c r="BE30" s="157"/>
      <c r="BF30" s="157"/>
      <c r="BG30" s="205"/>
      <c r="BH30" s="179"/>
      <c r="BJ30" s="11"/>
      <c r="BK30" s="141"/>
      <c r="BL30" s="25"/>
      <c r="BN30" s="129"/>
      <c r="BO30" s="124"/>
      <c r="BP30" s="25"/>
      <c r="BR30" s="28">
        <v>6</v>
      </c>
      <c r="BS30" s="29">
        <v>4700</v>
      </c>
      <c r="BT30" s="25">
        <f>BS30*BR30</f>
        <v>28200</v>
      </c>
    </row>
    <row r="31" spans="1:72" ht="15.6">
      <c r="A31" s="804"/>
      <c r="B31" s="848"/>
      <c r="D31" s="879"/>
      <c r="E31" s="880" t="s">
        <v>39</v>
      </c>
      <c r="F31" s="879"/>
      <c r="G31" s="879"/>
      <c r="H31" s="886">
        <v>1</v>
      </c>
      <c r="I31" s="886">
        <v>1</v>
      </c>
      <c r="J31" s="9"/>
      <c r="K31" s="873">
        <v>1</v>
      </c>
      <c r="L31" s="875">
        <v>3600</v>
      </c>
      <c r="M31" s="867">
        <f t="shared" ref="M31" si="6">L31*K31</f>
        <v>3600</v>
      </c>
      <c r="N31" s="1089"/>
      <c r="O31" s="1128"/>
      <c r="P31" s="1128"/>
      <c r="Q31" s="1089"/>
      <c r="R31" s="868"/>
      <c r="S31" s="869"/>
      <c r="T31" s="867">
        <f>S14*M31</f>
        <v>3960.0000000000005</v>
      </c>
      <c r="U31" s="867"/>
      <c r="V31" s="867"/>
      <c r="W31" s="868"/>
      <c r="X31" s="869"/>
      <c r="Y31" s="867">
        <f>X14*M31</f>
        <v>4500</v>
      </c>
      <c r="Z31" s="867"/>
      <c r="AA31" s="867"/>
      <c r="AB31" s="868"/>
      <c r="AC31" s="869"/>
      <c r="AD31" s="867">
        <f>AC14*M31</f>
        <v>5400</v>
      </c>
      <c r="AE31" s="867"/>
      <c r="AF31" s="867"/>
      <c r="AG31" s="868"/>
      <c r="AH31" s="896"/>
      <c r="AI31" s="867"/>
      <c r="AJ31" s="870"/>
      <c r="AK31" s="867"/>
      <c r="AL31" s="868"/>
      <c r="AM31" s="867"/>
      <c r="AN31" s="541"/>
      <c r="AO31" s="600">
        <v>3600</v>
      </c>
      <c r="AP31" s="600"/>
      <c r="AQ31" s="601" t="s">
        <v>165</v>
      </c>
      <c r="AR31" s="600"/>
      <c r="AS31" s="596">
        <f>AO31-T31</f>
        <v>-360.00000000000045</v>
      </c>
      <c r="AT31" s="25"/>
      <c r="AU31" s="25"/>
      <c r="AV31" s="25"/>
      <c r="AW31" s="157"/>
      <c r="AX31" s="157"/>
      <c r="AY31" s="157"/>
      <c r="AZ31" s="205"/>
      <c r="BA31" s="179"/>
      <c r="BB31" s="25"/>
      <c r="BC31" s="25"/>
      <c r="BD31" s="157"/>
      <c r="BE31" s="157"/>
      <c r="BF31" s="157"/>
      <c r="BG31" s="205"/>
      <c r="BH31" s="179"/>
      <c r="BJ31" s="11"/>
      <c r="BK31" s="141"/>
      <c r="BL31" s="25"/>
      <c r="BN31" s="129"/>
      <c r="BO31" s="124"/>
      <c r="BP31" s="25"/>
      <c r="BR31" s="28"/>
      <c r="BS31" s="29"/>
      <c r="BT31" s="25"/>
    </row>
    <row r="32" spans="1:72" ht="15.6">
      <c r="A32" s="804"/>
      <c r="B32" s="848"/>
      <c r="D32" s="879"/>
      <c r="E32" s="880" t="s">
        <v>40</v>
      </c>
      <c r="F32" s="879"/>
      <c r="G32" s="879"/>
      <c r="H32" s="886" t="s">
        <v>0</v>
      </c>
      <c r="I32" s="886">
        <v>1</v>
      </c>
      <c r="J32" s="9"/>
      <c r="K32" s="865">
        <v>1</v>
      </c>
      <c r="L32" s="875">
        <v>3600</v>
      </c>
      <c r="M32" s="867">
        <f t="shared" si="5"/>
        <v>3600</v>
      </c>
      <c r="N32" s="1089"/>
      <c r="O32" s="1128"/>
      <c r="P32" s="1128"/>
      <c r="Q32" s="1089"/>
      <c r="R32" s="868"/>
      <c r="S32" s="869"/>
      <c r="T32" s="867">
        <f>S14*M32</f>
        <v>3960.0000000000005</v>
      </c>
      <c r="U32" s="867"/>
      <c r="V32" s="867"/>
      <c r="W32" s="868"/>
      <c r="X32" s="869"/>
      <c r="Y32" s="867">
        <f>X14*M32</f>
        <v>4500</v>
      </c>
      <c r="Z32" s="867"/>
      <c r="AA32" s="867"/>
      <c r="AB32" s="868"/>
      <c r="AC32" s="869"/>
      <c r="AD32" s="867">
        <f>AC14*M32</f>
        <v>5400</v>
      </c>
      <c r="AE32" s="867"/>
      <c r="AF32" s="867"/>
      <c r="AG32" s="868"/>
      <c r="AH32" s="896"/>
      <c r="AI32" s="867"/>
      <c r="AJ32" s="870"/>
      <c r="AK32" s="867"/>
      <c r="AL32" s="868"/>
      <c r="AM32" s="867"/>
      <c r="AN32" s="541"/>
      <c r="AO32" s="600">
        <v>3600</v>
      </c>
      <c r="AP32" s="600"/>
      <c r="AQ32" s="601" t="s">
        <v>165</v>
      </c>
      <c r="AR32" s="600"/>
      <c r="AS32" s="596">
        <f>AO32-T32</f>
        <v>-360.00000000000045</v>
      </c>
      <c r="AT32" s="25"/>
      <c r="AU32" s="25"/>
      <c r="AV32" s="25"/>
      <c r="AW32" s="157"/>
      <c r="AX32" s="157"/>
      <c r="AY32" s="157"/>
      <c r="AZ32" s="205"/>
      <c r="BA32" s="179"/>
      <c r="BB32" s="25"/>
      <c r="BC32" s="25"/>
      <c r="BD32" s="157"/>
      <c r="BE32" s="157"/>
      <c r="BF32" s="157"/>
      <c r="BG32" s="205"/>
      <c r="BH32" s="179"/>
      <c r="BJ32" s="11"/>
      <c r="BK32" s="124"/>
      <c r="BL32" s="25"/>
      <c r="BN32" s="129"/>
      <c r="BO32" s="124"/>
      <c r="BP32" s="25"/>
      <c r="BR32" s="26">
        <v>2</v>
      </c>
      <c r="BS32" s="29">
        <v>3600</v>
      </c>
      <c r="BT32" s="25">
        <f>BS32*BR32</f>
        <v>7200</v>
      </c>
    </row>
    <row r="33" spans="1:72" ht="15" customHeight="1">
      <c r="B33" s="848"/>
      <c r="D33" s="885"/>
      <c r="E33" s="887" t="s">
        <v>35</v>
      </c>
      <c r="F33" s="885"/>
      <c r="G33" s="885"/>
      <c r="H33" s="886" t="s">
        <v>0</v>
      </c>
      <c r="I33" s="886" t="s">
        <v>0</v>
      </c>
      <c r="J33" s="9"/>
      <c r="K33" s="873">
        <v>7</v>
      </c>
      <c r="L33" s="871" t="s">
        <v>0</v>
      </c>
      <c r="M33" s="867">
        <v>2600</v>
      </c>
      <c r="N33" s="1089"/>
      <c r="O33" s="1128"/>
      <c r="P33" s="1128"/>
      <c r="Q33" s="1089"/>
      <c r="R33" s="868"/>
      <c r="S33" s="869"/>
      <c r="T33" s="867">
        <f>S14*M33</f>
        <v>2860.0000000000005</v>
      </c>
      <c r="U33" s="867"/>
      <c r="V33" s="867"/>
      <c r="W33" s="868"/>
      <c r="X33" s="869"/>
      <c r="Y33" s="867">
        <f>X14*M33</f>
        <v>3250</v>
      </c>
      <c r="Z33" s="867"/>
      <c r="AA33" s="867"/>
      <c r="AB33" s="868"/>
      <c r="AC33" s="869"/>
      <c r="AD33" s="867">
        <f>AC14*M33</f>
        <v>3900</v>
      </c>
      <c r="AE33" s="867"/>
      <c r="AF33" s="867"/>
      <c r="AG33" s="868"/>
      <c r="AH33" s="896"/>
      <c r="AI33" s="867"/>
      <c r="AJ33" s="870"/>
      <c r="AK33" s="867"/>
      <c r="AL33" s="868"/>
      <c r="AM33" s="867"/>
      <c r="AN33" s="541"/>
      <c r="AO33" s="600">
        <v>2600</v>
      </c>
      <c r="AP33" s="600"/>
      <c r="AQ33" s="601" t="s">
        <v>165</v>
      </c>
      <c r="AR33" s="600"/>
      <c r="AS33" s="596">
        <f>AO33-T33</f>
        <v>-260.00000000000045</v>
      </c>
      <c r="AT33" s="25"/>
      <c r="AU33" s="25"/>
      <c r="AV33" s="25"/>
      <c r="AW33" s="157"/>
      <c r="AX33" s="157"/>
      <c r="AY33" s="157"/>
      <c r="AZ33" s="205"/>
      <c r="BA33" s="179"/>
      <c r="BB33" s="25"/>
      <c r="BC33" s="25"/>
      <c r="BD33" s="157"/>
      <c r="BE33" s="157"/>
      <c r="BF33" s="157"/>
      <c r="BG33" s="205"/>
      <c r="BH33" s="179"/>
      <c r="BJ33" s="11"/>
      <c r="BK33" s="124"/>
      <c r="BL33" s="25"/>
      <c r="BN33" s="129"/>
      <c r="BO33" s="124"/>
      <c r="BP33" s="25"/>
      <c r="BR33" s="26">
        <v>7</v>
      </c>
      <c r="BS33" s="27"/>
      <c r="BT33" s="25">
        <v>2600</v>
      </c>
    </row>
    <row r="34" spans="1:72" ht="15" customHeight="1">
      <c r="B34" s="848"/>
      <c r="D34" s="885"/>
      <c r="E34" s="887" t="s">
        <v>0</v>
      </c>
      <c r="F34" s="885"/>
      <c r="G34" s="885"/>
      <c r="H34" s="886"/>
      <c r="I34" s="886"/>
      <c r="J34" s="9"/>
      <c r="K34" s="873"/>
      <c r="L34" s="871"/>
      <c r="M34" s="867"/>
      <c r="N34" s="1089"/>
      <c r="O34" s="1128"/>
      <c r="P34" s="1128"/>
      <c r="Q34" s="1089"/>
      <c r="R34" s="868"/>
      <c r="S34" s="869"/>
      <c r="T34" s="867"/>
      <c r="U34" s="867"/>
      <c r="V34" s="867"/>
      <c r="W34" s="868"/>
      <c r="X34" s="869"/>
      <c r="Y34" s="867"/>
      <c r="Z34" s="867"/>
      <c r="AA34" s="867"/>
      <c r="AB34" s="868"/>
      <c r="AC34" s="869"/>
      <c r="AD34" s="867"/>
      <c r="AE34" s="867"/>
      <c r="AF34" s="867"/>
      <c r="AG34" s="868"/>
      <c r="AH34" s="896"/>
      <c r="AI34" s="867"/>
      <c r="AJ34" s="870"/>
      <c r="AK34" s="867"/>
      <c r="AL34" s="868"/>
      <c r="AM34" s="867"/>
      <c r="AN34" s="541"/>
      <c r="AO34" s="600"/>
      <c r="AP34" s="600"/>
      <c r="AQ34" s="601"/>
      <c r="AR34" s="600"/>
      <c r="AS34" s="596"/>
      <c r="AT34" s="25"/>
      <c r="AU34" s="25"/>
      <c r="AV34" s="25"/>
      <c r="AW34" s="157"/>
      <c r="AX34" s="157"/>
      <c r="AY34" s="157"/>
      <c r="AZ34" s="205"/>
      <c r="BA34" s="179"/>
      <c r="BB34" s="25"/>
      <c r="BC34" s="25"/>
      <c r="BD34" s="157"/>
      <c r="BE34" s="157"/>
      <c r="BF34" s="157"/>
      <c r="BG34" s="205"/>
      <c r="BH34" s="179"/>
      <c r="BJ34" s="11"/>
      <c r="BK34" s="124"/>
      <c r="BL34" s="25"/>
      <c r="BN34" s="129"/>
      <c r="BO34" s="124"/>
      <c r="BP34" s="25"/>
      <c r="BR34" s="26"/>
      <c r="BS34" s="27"/>
      <c r="BT34" s="25"/>
    </row>
    <row r="35" spans="1:72" ht="15.6">
      <c r="B35" s="848"/>
      <c r="D35" s="879"/>
      <c r="E35" s="880"/>
      <c r="F35" s="879"/>
      <c r="G35" s="879"/>
      <c r="H35" s="886"/>
      <c r="I35" s="886"/>
      <c r="J35" s="9"/>
      <c r="K35" s="873"/>
      <c r="L35" s="875"/>
      <c r="M35" s="867"/>
      <c r="N35" s="1089"/>
      <c r="O35" s="1128"/>
      <c r="P35" s="1128"/>
      <c r="Q35" s="1089"/>
      <c r="R35" s="868"/>
      <c r="S35" s="869"/>
      <c r="T35" s="867"/>
      <c r="U35" s="867"/>
      <c r="V35" s="867"/>
      <c r="W35" s="868"/>
      <c r="X35" s="869"/>
      <c r="Y35" s="867"/>
      <c r="Z35" s="867"/>
      <c r="AA35" s="867"/>
      <c r="AB35" s="868"/>
      <c r="AC35" s="869"/>
      <c r="AD35" s="867"/>
      <c r="AE35" s="867"/>
      <c r="AF35" s="867"/>
      <c r="AG35" s="868"/>
      <c r="AH35" s="896"/>
      <c r="AI35" s="867"/>
      <c r="AJ35" s="870"/>
      <c r="AK35" s="867"/>
      <c r="AL35" s="868"/>
      <c r="AM35" s="867"/>
      <c r="AN35" s="541"/>
      <c r="AO35" s="25"/>
      <c r="AP35" s="25"/>
      <c r="AQ35" s="180"/>
      <c r="AR35" s="25"/>
      <c r="AS35" s="501"/>
      <c r="AT35" s="25"/>
      <c r="AU35" s="25"/>
      <c r="AV35" s="25"/>
      <c r="AW35" s="157"/>
      <c r="AX35" s="157"/>
      <c r="AY35" s="157"/>
      <c r="AZ35" s="205"/>
      <c r="BA35" s="179"/>
      <c r="BB35" s="25"/>
      <c r="BC35" s="25"/>
      <c r="BD35" s="157"/>
      <c r="BE35" s="157"/>
      <c r="BF35" s="157"/>
      <c r="BG35" s="205"/>
      <c r="BH35" s="179"/>
      <c r="BJ35" s="145" t="s">
        <v>0</v>
      </c>
      <c r="BK35" s="124"/>
      <c r="BL35" s="25"/>
      <c r="BN35" s="26"/>
      <c r="BO35" s="124"/>
      <c r="BP35" s="25"/>
    </row>
    <row r="36" spans="1:72" ht="15.6">
      <c r="A36" s="804"/>
      <c r="B36" s="848" t="s">
        <v>418</v>
      </c>
      <c r="D36" s="876" t="s">
        <v>417</v>
      </c>
      <c r="E36" s="877"/>
      <c r="F36" s="876"/>
      <c r="G36" s="876"/>
      <c r="H36" s="878">
        <f>SUM(H37)</f>
        <v>5</v>
      </c>
      <c r="I36" s="878">
        <f>SUM(I37)</f>
        <v>6</v>
      </c>
      <c r="J36" s="10"/>
      <c r="K36" s="861">
        <f>SUM(K37)</f>
        <v>6</v>
      </c>
      <c r="L36" s="1117">
        <f>M36/K36</f>
        <v>2300</v>
      </c>
      <c r="M36" s="863">
        <f>SUM(M37)</f>
        <v>13800</v>
      </c>
      <c r="N36" s="1088"/>
      <c r="O36" s="1124">
        <f>P36/K36</f>
        <v>2358.5</v>
      </c>
      <c r="P36" s="1130">
        <v>14151</v>
      </c>
      <c r="Q36" s="1088"/>
      <c r="R36" s="833"/>
      <c r="S36" s="864"/>
      <c r="T36" s="863">
        <f>S14*M36</f>
        <v>15180.000000000002</v>
      </c>
      <c r="U36" s="832"/>
      <c r="V36" s="832"/>
      <c r="W36" s="833"/>
      <c r="X36" s="864"/>
      <c r="Y36" s="863">
        <f>X14*M36</f>
        <v>17250</v>
      </c>
      <c r="Z36" s="832"/>
      <c r="AA36" s="832"/>
      <c r="AB36" s="833"/>
      <c r="AC36" s="864"/>
      <c r="AD36" s="863">
        <f>AC14*M36</f>
        <v>20700</v>
      </c>
      <c r="AE36" s="832"/>
      <c r="AF36" s="832"/>
      <c r="AG36" s="833"/>
      <c r="AH36" s="895"/>
      <c r="AI36" s="832"/>
      <c r="AJ36" s="513">
        <f>MROUND(M36,1000)</f>
        <v>14000</v>
      </c>
      <c r="AK36" s="832"/>
      <c r="AL36" s="833"/>
      <c r="AM36" s="832"/>
      <c r="AN36" s="534"/>
      <c r="AO36" s="73">
        <f>SUM(AO37)</f>
        <v>13800</v>
      </c>
      <c r="AP36" s="8"/>
      <c r="AQ36" s="144"/>
      <c r="AR36" s="8"/>
      <c r="AS36" s="497"/>
      <c r="AT36" s="8"/>
      <c r="AU36" s="8"/>
      <c r="AV36" s="8"/>
      <c r="AW36" s="162"/>
      <c r="AX36" s="156">
        <v>15000</v>
      </c>
      <c r="AY36" s="162"/>
      <c r="AZ36" s="204"/>
      <c r="BA36" s="178"/>
      <c r="BB36" s="8"/>
      <c r="BC36" s="8"/>
      <c r="BD36" s="162"/>
      <c r="BE36" s="156">
        <v>19215</v>
      </c>
      <c r="BF36" s="162"/>
      <c r="BG36" s="204"/>
      <c r="BH36" s="178"/>
      <c r="BJ36" s="144" t="s">
        <v>0</v>
      </c>
      <c r="BK36" s="6"/>
      <c r="BL36" s="8"/>
      <c r="BN36" s="128"/>
      <c r="BO36" s="6"/>
      <c r="BP36" s="8"/>
      <c r="BR36" s="117">
        <f>SUM(BR39:BR47)-BR42</f>
        <v>93</v>
      </c>
      <c r="BS36" s="72" t="s">
        <v>0</v>
      </c>
      <c r="BT36" s="73">
        <f>SUM(BT39:BT47)</f>
        <v>86800</v>
      </c>
    </row>
    <row r="37" spans="1:72" ht="15.6">
      <c r="A37" s="804"/>
      <c r="B37" s="848"/>
      <c r="D37" s="879"/>
      <c r="E37" s="880" t="s">
        <v>13</v>
      </c>
      <c r="F37" s="879"/>
      <c r="G37" s="879"/>
      <c r="H37" s="886">
        <v>5</v>
      </c>
      <c r="I37" s="886">
        <v>6</v>
      </c>
      <c r="J37" s="9"/>
      <c r="K37" s="873">
        <v>6</v>
      </c>
      <c r="L37" s="871">
        <v>2300</v>
      </c>
      <c r="M37" s="867">
        <f>L37*K37</f>
        <v>13800</v>
      </c>
      <c r="N37" s="1089"/>
      <c r="O37" s="1128"/>
      <c r="P37" s="1128"/>
      <c r="Q37" s="1089"/>
      <c r="R37" s="868"/>
      <c r="S37" s="869"/>
      <c r="T37" s="867">
        <f>S14*M37</f>
        <v>15180.000000000002</v>
      </c>
      <c r="U37" s="867"/>
      <c r="V37" s="867"/>
      <c r="W37" s="868"/>
      <c r="X37" s="869"/>
      <c r="Y37" s="867">
        <f>X14*M37</f>
        <v>17250</v>
      </c>
      <c r="Z37" s="867"/>
      <c r="AA37" s="867"/>
      <c r="AB37" s="868"/>
      <c r="AC37" s="869"/>
      <c r="AD37" s="867">
        <f>AC14*M37</f>
        <v>20700</v>
      </c>
      <c r="AE37" s="867"/>
      <c r="AF37" s="867"/>
      <c r="AG37" s="868"/>
      <c r="AH37" s="896"/>
      <c r="AI37" s="867"/>
      <c r="AJ37" s="870"/>
      <c r="AK37" s="867"/>
      <c r="AL37" s="868"/>
      <c r="AM37" s="867"/>
      <c r="AN37" s="541"/>
      <c r="AO37" s="600">
        <v>13800</v>
      </c>
      <c r="AP37" s="600"/>
      <c r="AQ37" s="601" t="s">
        <v>453</v>
      </c>
      <c r="AR37" s="600"/>
      <c r="AS37" s="596">
        <f>AO37-T37</f>
        <v>-1380.0000000000018</v>
      </c>
      <c r="AT37" s="25"/>
      <c r="AU37" s="25"/>
      <c r="AV37" s="25"/>
      <c r="AW37" s="157"/>
      <c r="AX37" s="157"/>
      <c r="AY37" s="157"/>
      <c r="AZ37" s="205"/>
      <c r="BA37" s="179"/>
      <c r="BB37" s="25"/>
      <c r="BC37" s="25"/>
      <c r="BD37" s="157"/>
      <c r="BE37" s="157"/>
      <c r="BF37" s="157"/>
      <c r="BG37" s="205"/>
      <c r="BH37" s="179"/>
      <c r="BJ37" s="11"/>
      <c r="BK37" s="141"/>
      <c r="BL37" s="25"/>
      <c r="BN37" s="129"/>
      <c r="BO37" s="124"/>
      <c r="BP37" s="25"/>
      <c r="BR37" s="28">
        <v>5</v>
      </c>
      <c r="BS37" s="29">
        <v>3000</v>
      </c>
      <c r="BT37" s="25">
        <f>BS37*BR37</f>
        <v>15000</v>
      </c>
    </row>
    <row r="38" spans="1:72" ht="15.6">
      <c r="B38" s="848"/>
      <c r="D38" s="153"/>
      <c r="E38" s="154"/>
      <c r="F38" s="153"/>
      <c r="G38" s="153"/>
      <c r="H38" s="155"/>
      <c r="I38" s="155"/>
      <c r="J38" s="10"/>
      <c r="K38" s="10"/>
      <c r="L38" s="6"/>
      <c r="M38" s="8"/>
      <c r="N38" s="1087"/>
      <c r="O38" s="1131"/>
      <c r="P38" s="1131"/>
      <c r="Q38" s="1087"/>
      <c r="R38" s="198"/>
      <c r="S38" s="564"/>
      <c r="T38" s="8"/>
      <c r="U38" s="8"/>
      <c r="V38" s="8"/>
      <c r="W38" s="198"/>
      <c r="X38" s="564"/>
      <c r="Y38" s="8"/>
      <c r="Z38" s="8"/>
      <c r="AA38" s="8"/>
      <c r="AB38" s="198"/>
      <c r="AC38" s="564"/>
      <c r="AD38" s="8"/>
      <c r="AE38" s="8"/>
      <c r="AF38" s="8"/>
      <c r="AG38" s="198"/>
      <c r="AH38" s="889"/>
      <c r="AI38" s="8"/>
      <c r="AJ38" s="144"/>
      <c r="AK38" s="8"/>
      <c r="AL38" s="198"/>
      <c r="AM38" s="8"/>
      <c r="AN38" s="534"/>
      <c r="AO38" s="8"/>
      <c r="AP38" s="8"/>
      <c r="AQ38" s="144"/>
      <c r="AR38" s="8"/>
      <c r="AS38" s="497"/>
      <c r="AT38" s="8"/>
      <c r="AU38" s="8"/>
      <c r="AV38" s="8"/>
      <c r="AW38" s="8"/>
      <c r="AX38" s="8"/>
      <c r="AY38" s="8"/>
      <c r="AZ38" s="198"/>
      <c r="BA38" s="144"/>
      <c r="BB38" s="8"/>
      <c r="BC38" s="8"/>
      <c r="BD38" s="8"/>
      <c r="BE38" s="8"/>
      <c r="BF38" s="8"/>
      <c r="BG38" s="198"/>
      <c r="BH38" s="144"/>
      <c r="BJ38" s="144"/>
      <c r="BK38" s="6"/>
      <c r="BL38" s="8"/>
      <c r="BN38" s="128"/>
      <c r="BO38" s="6"/>
      <c r="BP38" s="8"/>
      <c r="BR38" s="128"/>
      <c r="BS38" s="6"/>
      <c r="BT38" s="8"/>
    </row>
    <row r="39" spans="1:72" ht="15.6">
      <c r="B39" s="848"/>
      <c r="R39" s="206"/>
      <c r="W39" s="206"/>
      <c r="X39" s="565"/>
      <c r="AB39" s="206"/>
      <c r="AC39" s="565"/>
      <c r="AG39" s="206"/>
      <c r="AH39" s="897"/>
      <c r="AL39" s="206"/>
      <c r="AN39" s="540"/>
      <c r="AQ39" s="87"/>
      <c r="AS39" s="502"/>
      <c r="AZ39" s="206"/>
      <c r="BA39" s="87"/>
      <c r="BG39" s="206"/>
      <c r="BH39" s="87"/>
    </row>
    <row r="40" spans="1:72" ht="15.6">
      <c r="A40" s="805"/>
      <c r="B40" s="848" t="s">
        <v>421</v>
      </c>
      <c r="D40" s="89" t="s">
        <v>285</v>
      </c>
      <c r="E40" s="72"/>
      <c r="F40" s="89"/>
      <c r="G40" s="89"/>
      <c r="H40" s="95">
        <f t="shared" ref="H40:I40" si="7">H41</f>
        <v>0</v>
      </c>
      <c r="I40" s="95">
        <f t="shared" si="7"/>
        <v>0</v>
      </c>
      <c r="J40" s="155"/>
      <c r="K40" s="88">
        <v>36</v>
      </c>
      <c r="L40" s="1105">
        <f>M40/K40</f>
        <v>650</v>
      </c>
      <c r="M40" s="73">
        <f>M41</f>
        <v>23400</v>
      </c>
      <c r="N40" s="1088"/>
      <c r="O40" s="1124">
        <f>P40/K40</f>
        <v>506.58333333333331</v>
      </c>
      <c r="P40" s="1130">
        <v>18237</v>
      </c>
      <c r="Q40" s="1088"/>
      <c r="R40" s="198"/>
      <c r="S40" s="580"/>
      <c r="T40" s="73">
        <f>S14*M40</f>
        <v>25740.000000000004</v>
      </c>
      <c r="U40" s="8"/>
      <c r="V40" s="8"/>
      <c r="W40" s="198"/>
      <c r="X40" s="580"/>
      <c r="Y40" s="73">
        <f>X14*M40</f>
        <v>29250</v>
      </c>
      <c r="Z40" s="8"/>
      <c r="AA40" s="8"/>
      <c r="AB40" s="198"/>
      <c r="AC40" s="580"/>
      <c r="AD40" s="73">
        <f>AC14*M40</f>
        <v>35100</v>
      </c>
      <c r="AE40" s="8"/>
      <c r="AF40" s="8"/>
      <c r="AG40" s="198"/>
      <c r="AH40" s="889"/>
      <c r="AI40" s="8"/>
      <c r="AJ40" s="513">
        <f>MROUND(M40,1000)</f>
        <v>23000</v>
      </c>
      <c r="AK40" s="8"/>
      <c r="AL40" s="198"/>
      <c r="AM40" s="8"/>
      <c r="AN40" s="534"/>
      <c r="AO40" s="73">
        <f>AO41</f>
        <v>23400</v>
      </c>
      <c r="AP40" s="8"/>
      <c r="AQ40" s="144"/>
      <c r="AR40" s="8"/>
      <c r="AS40" s="497"/>
      <c r="AT40" s="8"/>
      <c r="AU40" s="8"/>
      <c r="AV40" s="8"/>
      <c r="AW40" s="8"/>
      <c r="AX40" s="73">
        <v>23400</v>
      </c>
      <c r="AY40" s="8"/>
      <c r="AZ40" s="198"/>
      <c r="BA40" s="144"/>
      <c r="BB40" s="8"/>
      <c r="BC40" s="8"/>
      <c r="BD40" s="8"/>
      <c r="BE40" s="73">
        <v>22739</v>
      </c>
      <c r="BF40" s="8"/>
      <c r="BG40" s="198"/>
      <c r="BH40" s="144"/>
      <c r="BJ40" s="10"/>
      <c r="BK40" s="124"/>
      <c r="BL40" s="8"/>
      <c r="BN40" s="128"/>
      <c r="BO40" s="124"/>
      <c r="BP40" s="8"/>
      <c r="BR40" s="88">
        <f>BR41</f>
        <v>36</v>
      </c>
      <c r="BS40" s="111"/>
      <c r="BT40" s="73">
        <f>BT41</f>
        <v>23400</v>
      </c>
    </row>
    <row r="41" spans="1:72" ht="15.6">
      <c r="A41" s="805"/>
      <c r="B41" s="848"/>
      <c r="D41" s="24"/>
      <c r="E41" s="1" t="s">
        <v>286</v>
      </c>
      <c r="F41" s="24"/>
      <c r="G41" s="24"/>
      <c r="H41" s="1"/>
      <c r="I41" s="1"/>
      <c r="J41" s="26"/>
      <c r="K41" s="26">
        <v>36</v>
      </c>
      <c r="L41" s="14">
        <v>650</v>
      </c>
      <c r="M41" s="25">
        <f>K41*L41</f>
        <v>23400</v>
      </c>
      <c r="N41" s="1089"/>
      <c r="O41" s="1128"/>
      <c r="P41" s="1128"/>
      <c r="Q41" s="1089"/>
      <c r="R41" s="207"/>
      <c r="S41" s="562"/>
      <c r="T41" s="25">
        <f>S14*M41</f>
        <v>25740.000000000004</v>
      </c>
      <c r="U41" s="25"/>
      <c r="V41" s="25"/>
      <c r="W41" s="207"/>
      <c r="X41" s="562"/>
      <c r="Y41" s="25">
        <f>X14*M41</f>
        <v>29250</v>
      </c>
      <c r="Z41" s="25"/>
      <c r="AA41" s="25"/>
      <c r="AB41" s="207"/>
      <c r="AC41" s="562"/>
      <c r="AD41" s="25">
        <f>AC14*M41</f>
        <v>35100</v>
      </c>
      <c r="AE41" s="25"/>
      <c r="AF41" s="25"/>
      <c r="AG41" s="207"/>
      <c r="AH41" s="893"/>
      <c r="AI41" s="25"/>
      <c r="AJ41" s="180"/>
      <c r="AK41" s="25"/>
      <c r="AL41" s="207"/>
      <c r="AM41" s="25"/>
      <c r="AN41" s="541"/>
      <c r="AO41" s="600">
        <v>23400</v>
      </c>
      <c r="AP41" s="600"/>
      <c r="AQ41" s="601" t="s">
        <v>165</v>
      </c>
      <c r="AR41" s="600"/>
      <c r="AS41" s="596">
        <f>AO41-T41</f>
        <v>-2340.0000000000036</v>
      </c>
      <c r="AT41" s="25"/>
      <c r="AU41" s="25"/>
      <c r="AV41" s="25"/>
      <c r="AW41" s="25"/>
      <c r="AX41" s="25"/>
      <c r="AY41" s="25"/>
      <c r="AZ41" s="207"/>
      <c r="BA41" s="180"/>
      <c r="BB41" s="25"/>
      <c r="BC41" s="25"/>
      <c r="BD41" s="25"/>
      <c r="BE41" s="25"/>
      <c r="BF41" s="25"/>
      <c r="BG41" s="207"/>
      <c r="BH41" s="180"/>
      <c r="BJ41" s="26"/>
      <c r="BK41" s="14"/>
      <c r="BL41" s="25"/>
      <c r="BN41" s="129"/>
      <c r="BO41" s="14"/>
      <c r="BP41" s="25"/>
      <c r="BR41" s="26">
        <v>36</v>
      </c>
      <c r="BS41" s="14">
        <v>650</v>
      </c>
      <c r="BT41" s="25">
        <f>BR41*BS41</f>
        <v>23400</v>
      </c>
    </row>
    <row r="42" spans="1:72" ht="15.6">
      <c r="B42" s="848"/>
      <c r="D42" s="24"/>
      <c r="E42" s="1"/>
      <c r="F42" s="24"/>
      <c r="G42" s="24"/>
      <c r="H42" s="1"/>
      <c r="I42" s="1"/>
      <c r="J42" s="26"/>
      <c r="K42" s="10"/>
      <c r="L42" s="14"/>
      <c r="M42" s="30"/>
      <c r="N42" s="1091"/>
      <c r="O42" s="1132"/>
      <c r="P42" s="1132"/>
      <c r="Q42" s="1091"/>
      <c r="R42" s="208"/>
      <c r="S42" s="566"/>
      <c r="T42" s="30"/>
      <c r="U42" s="30"/>
      <c r="V42" s="30"/>
      <c r="W42" s="208"/>
      <c r="X42" s="566"/>
      <c r="Y42" s="30"/>
      <c r="Z42" s="30"/>
      <c r="AA42" s="30"/>
      <c r="AB42" s="208"/>
      <c r="AC42" s="566"/>
      <c r="AD42" s="30"/>
      <c r="AE42" s="30"/>
      <c r="AF42" s="30"/>
      <c r="AG42" s="208"/>
      <c r="AH42" s="889"/>
      <c r="AI42" s="30"/>
      <c r="AJ42" s="10"/>
      <c r="AK42" s="30"/>
      <c r="AL42" s="208"/>
      <c r="AM42" s="30"/>
      <c r="AN42" s="542"/>
      <c r="AO42" s="30"/>
      <c r="AP42" s="30"/>
      <c r="AQ42" s="10"/>
      <c r="AR42" s="30"/>
      <c r="AS42" s="503"/>
      <c r="AT42" s="30"/>
      <c r="AU42" s="30"/>
      <c r="AV42" s="30"/>
      <c r="AW42" s="30"/>
      <c r="AX42" s="30"/>
      <c r="AY42" s="30"/>
      <c r="AZ42" s="208"/>
      <c r="BA42" s="10"/>
      <c r="BB42" s="30"/>
      <c r="BC42" s="30"/>
      <c r="BD42" s="30"/>
      <c r="BE42" s="30"/>
      <c r="BF42" s="30"/>
      <c r="BG42" s="208"/>
      <c r="BH42" s="10"/>
      <c r="BJ42" s="10"/>
      <c r="BK42" s="14"/>
      <c r="BL42" s="30"/>
      <c r="BN42" s="10"/>
      <c r="BO42" s="14"/>
      <c r="BP42" s="30"/>
      <c r="BR42" s="10"/>
      <c r="BS42" s="14"/>
      <c r="BT42" s="30"/>
    </row>
    <row r="43" spans="1:72" ht="15.6">
      <c r="A43" s="806"/>
      <c r="B43" s="848" t="s">
        <v>422</v>
      </c>
      <c r="D43" s="89" t="s">
        <v>284</v>
      </c>
      <c r="E43" s="72"/>
      <c r="F43" s="89"/>
      <c r="G43" s="89"/>
      <c r="H43" s="94">
        <f t="shared" ref="H43:I43" si="8">SUM(H44:H46)</f>
        <v>31</v>
      </c>
      <c r="I43" s="94">
        <f t="shared" si="8"/>
        <v>30</v>
      </c>
      <c r="J43" s="32"/>
      <c r="K43" s="88">
        <v>16</v>
      </c>
      <c r="L43" s="1105">
        <f>M43/K43</f>
        <v>2468.75</v>
      </c>
      <c r="M43" s="73">
        <f>SUM(M44:M46)</f>
        <v>39500</v>
      </c>
      <c r="N43" s="1088"/>
      <c r="O43" s="1124">
        <f>P43/K43</f>
        <v>2268</v>
      </c>
      <c r="P43" s="1130">
        <v>36288</v>
      </c>
      <c r="Q43" s="1088"/>
      <c r="R43" s="198"/>
      <c r="S43" s="580"/>
      <c r="T43" s="73">
        <f>S14*M43</f>
        <v>43450</v>
      </c>
      <c r="U43" s="8"/>
      <c r="V43" s="8"/>
      <c r="W43" s="198"/>
      <c r="X43" s="580"/>
      <c r="Y43" s="73">
        <f>X14*M43</f>
        <v>49375</v>
      </c>
      <c r="Z43" s="8"/>
      <c r="AA43" s="8"/>
      <c r="AB43" s="198"/>
      <c r="AC43" s="580"/>
      <c r="AD43" s="73">
        <f>AC14*M43</f>
        <v>59250</v>
      </c>
      <c r="AE43" s="8"/>
      <c r="AF43" s="8"/>
      <c r="AG43" s="198"/>
      <c r="AH43" s="889"/>
      <c r="AI43" s="8"/>
      <c r="AJ43" s="513">
        <f>MROUND(M43,1000)</f>
        <v>40000</v>
      </c>
      <c r="AK43" s="8"/>
      <c r="AL43" s="198"/>
      <c r="AM43" s="8"/>
      <c r="AN43" s="534"/>
      <c r="AO43" s="73">
        <f>SUM(AO44:AO46)</f>
        <v>40000</v>
      </c>
      <c r="AP43" s="8"/>
      <c r="AQ43" s="144"/>
      <c r="AR43" s="8"/>
      <c r="AS43" s="497"/>
      <c r="AT43" s="8"/>
      <c r="AU43" s="8"/>
      <c r="AV43" s="8"/>
      <c r="AW43" s="8"/>
      <c r="AX43" s="73">
        <v>40000</v>
      </c>
      <c r="AY43" s="8"/>
      <c r="AZ43" s="198"/>
      <c r="BA43" s="144"/>
      <c r="BB43" s="8"/>
      <c r="BC43" s="8"/>
      <c r="BD43" s="8"/>
      <c r="BE43" s="73">
        <v>53435</v>
      </c>
      <c r="BF43" s="8"/>
      <c r="BG43" s="198"/>
      <c r="BH43" s="144"/>
      <c r="BJ43" s="10"/>
      <c r="BK43" s="130"/>
      <c r="BL43" s="8"/>
      <c r="BN43" s="10"/>
      <c r="BO43" s="130"/>
      <c r="BP43" s="8"/>
      <c r="BR43" s="88" t="s">
        <v>0</v>
      </c>
      <c r="BS43" s="114"/>
      <c r="BT43" s="73">
        <v>40000</v>
      </c>
    </row>
    <row r="44" spans="1:72" ht="15.6">
      <c r="A44" s="806"/>
      <c r="B44" s="848"/>
      <c r="D44" s="24"/>
      <c r="E44" s="1" t="s">
        <v>15</v>
      </c>
      <c r="F44" s="24"/>
      <c r="G44" s="24"/>
      <c r="H44" s="9">
        <v>16</v>
      </c>
      <c r="I44" s="102">
        <v>16</v>
      </c>
      <c r="J44" s="26"/>
      <c r="K44" s="26">
        <v>16</v>
      </c>
      <c r="L44" s="29">
        <v>1950</v>
      </c>
      <c r="M44" s="25">
        <f>K44*L44</f>
        <v>31200</v>
      </c>
      <c r="N44" s="1089"/>
      <c r="O44" s="1128"/>
      <c r="P44" s="1128"/>
      <c r="Q44" s="1089"/>
      <c r="R44" s="207"/>
      <c r="S44" s="562"/>
      <c r="T44" s="25">
        <f>S14*M44</f>
        <v>34320</v>
      </c>
      <c r="U44" s="25"/>
      <c r="V44" s="25"/>
      <c r="W44" s="207"/>
      <c r="X44" s="562"/>
      <c r="Y44" s="25">
        <f>X14*M44</f>
        <v>39000</v>
      </c>
      <c r="Z44" s="25"/>
      <c r="AA44" s="25"/>
      <c r="AB44" s="207"/>
      <c r="AC44" s="562"/>
      <c r="AD44" s="25">
        <f>AC14*M44</f>
        <v>46800</v>
      </c>
      <c r="AE44" s="25"/>
      <c r="AF44" s="25"/>
      <c r="AG44" s="207"/>
      <c r="AH44" s="893"/>
      <c r="AI44" s="25"/>
      <c r="AK44" s="25"/>
      <c r="AL44" s="207"/>
      <c r="AM44" s="8"/>
      <c r="AN44" s="534"/>
      <c r="AO44" s="600">
        <v>31200</v>
      </c>
      <c r="AP44" s="602"/>
      <c r="AQ44" s="601" t="s">
        <v>167</v>
      </c>
      <c r="AR44" s="602"/>
      <c r="AS44" s="596">
        <f>AO44-T44</f>
        <v>-3120</v>
      </c>
      <c r="AT44" s="8"/>
      <c r="AU44" s="8"/>
      <c r="AV44" s="8"/>
      <c r="AW44" s="8"/>
      <c r="AX44" s="8"/>
      <c r="AY44" s="8"/>
      <c r="AZ44" s="198"/>
      <c r="BA44" s="144"/>
      <c r="BB44" s="8"/>
      <c r="BC44" s="8"/>
      <c r="BD44" s="8"/>
      <c r="BE44" s="8"/>
      <c r="BF44" s="8"/>
      <c r="BG44" s="198"/>
      <c r="BH44" s="144"/>
      <c r="BJ44" s="26"/>
      <c r="BK44" s="124"/>
      <c r="BL44" s="8"/>
      <c r="BN44" s="26"/>
      <c r="BO44" s="124"/>
      <c r="BP44" s="8"/>
      <c r="BR44" s="26">
        <v>16</v>
      </c>
      <c r="BS44" s="29">
        <v>1950</v>
      </c>
      <c r="BT44" s="8"/>
    </row>
    <row r="45" spans="1:72" ht="15.6">
      <c r="A45" s="806"/>
      <c r="B45" s="848"/>
      <c r="D45" s="24"/>
      <c r="E45" s="1" t="s">
        <v>16</v>
      </c>
      <c r="F45" s="24"/>
      <c r="G45" s="24"/>
      <c r="H45" s="9">
        <v>4</v>
      </c>
      <c r="I45" s="9">
        <v>4</v>
      </c>
      <c r="J45" s="9"/>
      <c r="K45" s="28">
        <v>4</v>
      </c>
      <c r="L45" s="33" t="s">
        <v>10</v>
      </c>
      <c r="M45" s="25">
        <f>4400-500</f>
        <v>3900</v>
      </c>
      <c r="N45" s="1089"/>
      <c r="O45" s="1128"/>
      <c r="P45" s="1128"/>
      <c r="Q45" s="1089"/>
      <c r="R45" s="207"/>
      <c r="S45" s="562"/>
      <c r="T45" s="25">
        <f>S14*M45</f>
        <v>4290</v>
      </c>
      <c r="U45" s="25"/>
      <c r="V45" s="25"/>
      <c r="W45" s="207"/>
      <c r="X45" s="562"/>
      <c r="Y45" s="25">
        <f>X14*M45</f>
        <v>4875</v>
      </c>
      <c r="Z45" s="25"/>
      <c r="AA45" s="25"/>
      <c r="AB45" s="207"/>
      <c r="AC45" s="562"/>
      <c r="AD45" s="25">
        <f>AC14*M45</f>
        <v>5850</v>
      </c>
      <c r="AE45" s="25"/>
      <c r="AF45" s="25"/>
      <c r="AG45" s="207"/>
      <c r="AH45" s="893"/>
      <c r="AI45" s="25"/>
      <c r="AJ45" s="180"/>
      <c r="AK45" s="25"/>
      <c r="AL45" s="207"/>
      <c r="AM45" s="8"/>
      <c r="AN45" s="534"/>
      <c r="AO45" s="600">
        <v>4400</v>
      </c>
      <c r="AP45" s="602"/>
      <c r="AQ45" s="601" t="s">
        <v>167</v>
      </c>
      <c r="AR45" s="602"/>
      <c r="AS45" s="596">
        <f>AO45-T45</f>
        <v>110</v>
      </c>
      <c r="AT45" s="8"/>
      <c r="AU45" s="8"/>
      <c r="AV45" s="8"/>
      <c r="AW45" s="8"/>
      <c r="AX45" s="8"/>
      <c r="AY45" s="8"/>
      <c r="AZ45" s="198"/>
      <c r="BA45" s="144"/>
      <c r="BB45" s="8"/>
      <c r="BC45" s="8"/>
      <c r="BD45" s="8"/>
      <c r="BE45" s="8"/>
      <c r="BF45" s="8"/>
      <c r="BG45" s="198"/>
      <c r="BH45" s="144"/>
      <c r="BJ45" s="28"/>
      <c r="BK45" s="125"/>
      <c r="BL45" s="8"/>
      <c r="BN45" s="26"/>
      <c r="BO45" s="125"/>
      <c r="BP45" s="8"/>
      <c r="BR45" s="32">
        <v>5</v>
      </c>
      <c r="BS45" s="33" t="s">
        <v>10</v>
      </c>
      <c r="BT45" s="8"/>
    </row>
    <row r="46" spans="1:72" ht="15.6">
      <c r="A46" s="806"/>
      <c r="B46" s="848"/>
      <c r="D46" s="24"/>
      <c r="E46" s="1" t="s">
        <v>36</v>
      </c>
      <c r="F46" s="24"/>
      <c r="G46" s="24"/>
      <c r="H46" s="9">
        <v>11</v>
      </c>
      <c r="I46" s="9">
        <v>10</v>
      </c>
      <c r="J46" s="9"/>
      <c r="K46" s="28">
        <v>10</v>
      </c>
      <c r="L46" s="33" t="s">
        <v>10</v>
      </c>
      <c r="M46" s="25">
        <v>4400</v>
      </c>
      <c r="N46" s="1089"/>
      <c r="O46" s="1128"/>
      <c r="P46" s="1128"/>
      <c r="Q46" s="1089"/>
      <c r="R46" s="207"/>
      <c r="S46" s="562"/>
      <c r="T46" s="25">
        <f>S14*M46</f>
        <v>4840</v>
      </c>
      <c r="U46" s="25"/>
      <c r="V46" s="25"/>
      <c r="W46" s="207"/>
      <c r="X46" s="562"/>
      <c r="Y46" s="25">
        <f>X14*M46</f>
        <v>5500</v>
      </c>
      <c r="Z46" s="25"/>
      <c r="AA46" s="25"/>
      <c r="AB46" s="207"/>
      <c r="AC46" s="562"/>
      <c r="AD46" s="25">
        <f>AC14*M46</f>
        <v>6600</v>
      </c>
      <c r="AE46" s="25"/>
      <c r="AF46" s="25"/>
      <c r="AG46" s="207"/>
      <c r="AH46" s="893"/>
      <c r="AI46" s="25"/>
      <c r="AJ46" s="180"/>
      <c r="AK46" s="25"/>
      <c r="AL46" s="207"/>
      <c r="AM46" s="8"/>
      <c r="AN46" s="534"/>
      <c r="AO46" s="600">
        <v>4400</v>
      </c>
      <c r="AP46" s="602"/>
      <c r="AQ46" s="601" t="s">
        <v>167</v>
      </c>
      <c r="AR46" s="602"/>
      <c r="AS46" s="596">
        <f>AO46-T46</f>
        <v>-440</v>
      </c>
      <c r="AT46" s="8"/>
      <c r="AU46" s="8"/>
      <c r="AV46" s="8"/>
      <c r="AW46" s="8"/>
      <c r="AX46" s="8"/>
      <c r="AY46" s="8"/>
      <c r="AZ46" s="198"/>
      <c r="BA46" s="144"/>
      <c r="BB46" s="8"/>
      <c r="BC46" s="8"/>
      <c r="BD46" s="8"/>
      <c r="BE46" s="8"/>
      <c r="BF46" s="8"/>
      <c r="BG46" s="198"/>
      <c r="BH46" s="144"/>
      <c r="BJ46" s="28"/>
      <c r="BK46" s="125"/>
      <c r="BL46" s="8"/>
      <c r="BN46" s="26"/>
      <c r="BO46" s="125"/>
      <c r="BP46" s="8"/>
      <c r="BR46" s="32"/>
      <c r="BS46" s="33"/>
      <c r="BT46" s="8"/>
    </row>
    <row r="47" spans="1:72" ht="15.6">
      <c r="B47" s="848"/>
      <c r="D47" s="24"/>
      <c r="E47" s="1"/>
      <c r="F47" s="24"/>
      <c r="G47" s="24"/>
      <c r="H47" s="9"/>
      <c r="I47" s="9"/>
      <c r="J47" s="9"/>
      <c r="K47" s="32"/>
      <c r="L47" s="33"/>
      <c r="M47" s="8"/>
      <c r="N47" s="1087"/>
      <c r="O47" s="1131"/>
      <c r="P47" s="1131"/>
      <c r="Q47" s="1087"/>
      <c r="R47" s="198"/>
      <c r="S47" s="564"/>
      <c r="T47" s="8"/>
      <c r="U47" s="8"/>
      <c r="V47" s="8"/>
      <c r="W47" s="198"/>
      <c r="X47" s="564"/>
      <c r="Y47" s="8"/>
      <c r="Z47" s="8"/>
      <c r="AA47" s="8"/>
      <c r="AB47" s="198"/>
      <c r="AC47" s="564"/>
      <c r="AD47" s="8"/>
      <c r="AE47" s="8"/>
      <c r="AF47" s="8"/>
      <c r="AG47" s="198"/>
      <c r="AH47" s="889"/>
      <c r="AI47" s="8"/>
      <c r="AJ47" s="144"/>
      <c r="AK47" s="8"/>
      <c r="AL47" s="198"/>
      <c r="AM47" s="8"/>
      <c r="AN47" s="534"/>
      <c r="AO47" s="8"/>
      <c r="AP47" s="8"/>
      <c r="AQ47" s="144"/>
      <c r="AR47" s="8"/>
      <c r="AS47" s="497"/>
      <c r="AT47" s="8"/>
      <c r="AU47" s="8"/>
      <c r="AV47" s="8"/>
      <c r="AW47" s="8"/>
      <c r="AX47" s="8"/>
      <c r="AY47" s="8"/>
      <c r="AZ47" s="198"/>
      <c r="BA47" s="144"/>
      <c r="BB47" s="8"/>
      <c r="BC47" s="8"/>
      <c r="BD47" s="8"/>
      <c r="BE47" s="8"/>
      <c r="BF47" s="8"/>
      <c r="BG47" s="198"/>
      <c r="BH47" s="144"/>
      <c r="BJ47" s="32"/>
      <c r="BK47" s="125"/>
      <c r="BL47" s="8"/>
      <c r="BN47" s="10"/>
      <c r="BO47" s="125"/>
      <c r="BP47" s="8"/>
      <c r="BR47" s="32"/>
      <c r="BS47" s="33"/>
      <c r="BT47" s="8"/>
    </row>
    <row r="48" spans="1:72" ht="15.6">
      <c r="B48" s="848"/>
      <c r="D48" s="11"/>
      <c r="E48" s="34"/>
      <c r="F48" s="11"/>
      <c r="G48" s="11"/>
      <c r="H48" s="9"/>
      <c r="I48" s="9"/>
      <c r="J48" s="9"/>
      <c r="K48" s="26"/>
      <c r="L48" s="27"/>
      <c r="M48" s="25"/>
      <c r="N48" s="1089"/>
      <c r="O48" s="1128"/>
      <c r="P48" s="1128"/>
      <c r="Q48" s="1089"/>
      <c r="R48" s="207"/>
      <c r="S48" s="562"/>
      <c r="T48" s="25"/>
      <c r="U48" s="25"/>
      <c r="V48" s="25"/>
      <c r="W48" s="207"/>
      <c r="X48" s="562"/>
      <c r="Y48" s="25"/>
      <c r="Z48" s="25"/>
      <c r="AA48" s="25"/>
      <c r="AB48" s="207"/>
      <c r="AC48" s="562"/>
      <c r="AD48" s="25"/>
      <c r="AE48" s="25"/>
      <c r="AF48" s="25"/>
      <c r="AG48" s="207"/>
      <c r="AH48" s="893"/>
      <c r="AI48" s="25"/>
      <c r="AJ48" s="180"/>
      <c r="AK48" s="25"/>
      <c r="AL48" s="207"/>
      <c r="AM48" s="25"/>
      <c r="AN48" s="541"/>
      <c r="AO48" s="25"/>
      <c r="AP48" s="25"/>
      <c r="AQ48" s="180"/>
      <c r="AR48" s="25"/>
      <c r="AS48" s="501"/>
      <c r="AT48" s="25"/>
      <c r="AU48" s="25"/>
      <c r="AV48" s="25"/>
      <c r="AW48" s="25"/>
      <c r="AX48" s="25"/>
      <c r="AY48" s="25"/>
      <c r="AZ48" s="207"/>
      <c r="BA48" s="180"/>
      <c r="BB48" s="25"/>
      <c r="BC48" s="25"/>
      <c r="BD48" s="25"/>
      <c r="BE48" s="25"/>
      <c r="BF48" s="25"/>
      <c r="BG48" s="207"/>
      <c r="BH48" s="180"/>
      <c r="BJ48" s="11"/>
      <c r="BK48" s="124"/>
      <c r="BL48" s="25"/>
      <c r="BN48" s="26"/>
      <c r="BO48" s="124"/>
      <c r="BP48" s="25"/>
      <c r="BR48" s="26"/>
      <c r="BS48" s="27"/>
      <c r="BT48" s="25"/>
    </row>
    <row r="49" spans="1:74" ht="15.6">
      <c r="A49" s="804"/>
      <c r="B49" s="848" t="s">
        <v>423</v>
      </c>
      <c r="D49" s="89" t="s">
        <v>288</v>
      </c>
      <c r="E49" s="72"/>
      <c r="F49" s="89"/>
      <c r="G49" s="89"/>
      <c r="H49" s="94">
        <f t="shared" ref="H49:I49" si="9">SUM(H50:H52)</f>
        <v>6</v>
      </c>
      <c r="I49" s="94">
        <f t="shared" si="9"/>
        <v>10</v>
      </c>
      <c r="J49" s="32"/>
      <c r="K49" s="88">
        <f>K50</f>
        <v>10</v>
      </c>
      <c r="L49" s="1105">
        <f>M49/K49</f>
        <v>520</v>
      </c>
      <c r="M49" s="73">
        <f>M50</f>
        <v>5200</v>
      </c>
      <c r="N49" s="1088"/>
      <c r="O49" s="1124">
        <f>P49/K49</f>
        <v>520</v>
      </c>
      <c r="P49" s="1130">
        <v>5200</v>
      </c>
      <c r="Q49" s="1088"/>
      <c r="R49" s="198"/>
      <c r="S49" s="580"/>
      <c r="T49" s="73">
        <f>S14*M49</f>
        <v>5720.0000000000009</v>
      </c>
      <c r="U49" s="8"/>
      <c r="V49" s="8"/>
      <c r="W49" s="198"/>
      <c r="X49" s="580"/>
      <c r="Y49" s="73">
        <f>X14*M49</f>
        <v>6500</v>
      </c>
      <c r="Z49" s="8"/>
      <c r="AA49" s="8"/>
      <c r="AB49" s="198"/>
      <c r="AC49" s="580"/>
      <c r="AD49" s="73">
        <f>AC14*M49</f>
        <v>7800</v>
      </c>
      <c r="AE49" s="8"/>
      <c r="AF49" s="8"/>
      <c r="AG49" s="198"/>
      <c r="AH49" s="889"/>
      <c r="AI49" s="8"/>
      <c r="AJ49" s="513">
        <f>MROUND(M49,1000)</f>
        <v>5000</v>
      </c>
      <c r="AK49" s="8"/>
      <c r="AL49" s="198"/>
      <c r="AM49" s="8"/>
      <c r="AN49" s="534"/>
      <c r="AO49" s="73">
        <f>AO50</f>
        <v>5200</v>
      </c>
      <c r="AP49" s="8"/>
      <c r="AQ49" s="144"/>
      <c r="AR49" s="8"/>
      <c r="AS49" s="497"/>
      <c r="AT49" s="8"/>
      <c r="AU49" s="8"/>
      <c r="AV49" s="8"/>
      <c r="AW49" s="8"/>
      <c r="AX49" s="73">
        <v>5200</v>
      </c>
      <c r="AY49" s="8"/>
      <c r="AZ49" s="198"/>
      <c r="BA49" s="144"/>
      <c r="BB49" s="8"/>
      <c r="BC49" s="8"/>
      <c r="BD49" s="8"/>
      <c r="BE49" s="73">
        <v>7010</v>
      </c>
      <c r="BF49" s="8"/>
      <c r="BG49" s="198"/>
      <c r="BH49" s="144"/>
      <c r="BJ49" s="10"/>
      <c r="BK49" s="124"/>
      <c r="BL49" s="8"/>
      <c r="BN49" s="128"/>
      <c r="BO49" s="124"/>
      <c r="BP49" s="8"/>
      <c r="BR49" s="88">
        <v>10</v>
      </c>
      <c r="BS49" s="111"/>
      <c r="BT49" s="73">
        <f>BT50</f>
        <v>5200</v>
      </c>
    </row>
    <row r="50" spans="1:74" ht="15.6">
      <c r="A50" s="804"/>
      <c r="B50" s="848"/>
      <c r="D50" s="24"/>
      <c r="E50" s="1" t="s">
        <v>37</v>
      </c>
      <c r="F50" s="24"/>
      <c r="G50" s="24"/>
      <c r="H50" s="9">
        <v>6</v>
      </c>
      <c r="I50" s="102">
        <v>10</v>
      </c>
      <c r="J50" s="26"/>
      <c r="K50" s="26">
        <v>10</v>
      </c>
      <c r="L50" s="14">
        <v>520</v>
      </c>
      <c r="M50" s="25">
        <f>K50*L50</f>
        <v>5200</v>
      </c>
      <c r="N50" s="1089"/>
      <c r="O50" s="1128"/>
      <c r="P50" s="1128"/>
      <c r="Q50" s="1089"/>
      <c r="R50" s="207"/>
      <c r="S50" s="562"/>
      <c r="T50" s="25">
        <f>S14*M50</f>
        <v>5720.0000000000009</v>
      </c>
      <c r="U50" s="25"/>
      <c r="V50" s="25"/>
      <c r="W50" s="207"/>
      <c r="X50" s="562"/>
      <c r="Y50" s="25">
        <f>X14*M50</f>
        <v>6500</v>
      </c>
      <c r="Z50" s="25"/>
      <c r="AA50" s="25"/>
      <c r="AB50" s="207"/>
      <c r="AC50" s="562"/>
      <c r="AD50" s="25">
        <f>AC14*M50</f>
        <v>7800</v>
      </c>
      <c r="AE50" s="25"/>
      <c r="AF50" s="25"/>
      <c r="AG50" s="207"/>
      <c r="AH50" s="893"/>
      <c r="AI50" s="25"/>
      <c r="AJ50" s="180"/>
      <c r="AK50" s="25"/>
      <c r="AL50" s="207"/>
      <c r="AM50" s="25"/>
      <c r="AN50" s="541"/>
      <c r="AO50" s="600">
        <v>5200</v>
      </c>
      <c r="AP50" s="600"/>
      <c r="AQ50" s="601" t="s">
        <v>165</v>
      </c>
      <c r="AR50" s="600"/>
      <c r="AS50" s="596">
        <f>AO50-T50</f>
        <v>-520.00000000000091</v>
      </c>
      <c r="AT50" s="25"/>
      <c r="AU50" s="25"/>
      <c r="AV50" s="25"/>
      <c r="AW50" s="25"/>
      <c r="AX50" s="25"/>
      <c r="AY50" s="25"/>
      <c r="AZ50" s="207"/>
      <c r="BA50" s="180"/>
      <c r="BB50" s="25"/>
      <c r="BC50" s="25"/>
      <c r="BD50" s="25"/>
      <c r="BE50" s="25"/>
      <c r="BF50" s="25"/>
      <c r="BG50" s="207"/>
      <c r="BH50" s="180"/>
      <c r="BJ50" s="26"/>
      <c r="BK50" s="14"/>
      <c r="BL50" s="25"/>
      <c r="BN50" s="129"/>
      <c r="BO50" s="14"/>
      <c r="BP50" s="25"/>
      <c r="BR50" s="26">
        <v>10</v>
      </c>
      <c r="BS50" s="14">
        <v>520</v>
      </c>
      <c r="BT50" s="25">
        <f>BR50*BS50</f>
        <v>5200</v>
      </c>
    </row>
    <row r="51" spans="1:74" ht="15.6">
      <c r="B51" s="848"/>
      <c r="D51" s="24"/>
      <c r="E51" s="1"/>
      <c r="F51" s="24"/>
      <c r="G51" s="24"/>
      <c r="H51" s="1"/>
      <c r="I51" s="1"/>
      <c r="J51" s="26"/>
      <c r="K51" s="26"/>
      <c r="L51" s="14"/>
      <c r="M51" s="25"/>
      <c r="N51" s="1089"/>
      <c r="O51" s="1128"/>
      <c r="P51" s="1128"/>
      <c r="Q51" s="1089"/>
      <c r="R51" s="207"/>
      <c r="S51" s="562"/>
      <c r="T51" s="25"/>
      <c r="U51" s="25"/>
      <c r="V51" s="25"/>
      <c r="W51" s="207"/>
      <c r="X51" s="562"/>
      <c r="Y51" s="25"/>
      <c r="Z51" s="25"/>
      <c r="AA51" s="25"/>
      <c r="AB51" s="207"/>
      <c r="AC51" s="562"/>
      <c r="AD51" s="25"/>
      <c r="AE51" s="25"/>
      <c r="AF51" s="25"/>
      <c r="AG51" s="207"/>
      <c r="AH51" s="893"/>
      <c r="AI51" s="25"/>
      <c r="AJ51" s="180"/>
      <c r="AK51" s="25"/>
      <c r="AL51" s="207"/>
      <c r="AM51" s="25"/>
      <c r="AN51" s="541"/>
      <c r="AO51" s="25"/>
      <c r="AP51" s="25"/>
      <c r="AQ51" s="180"/>
      <c r="AR51" s="25"/>
      <c r="AS51" s="501"/>
      <c r="AT51" s="25"/>
      <c r="AU51" s="25"/>
      <c r="AV51" s="25"/>
      <c r="AW51" s="25"/>
      <c r="AX51" s="25"/>
      <c r="AY51" s="25"/>
      <c r="AZ51" s="207"/>
      <c r="BA51" s="180"/>
      <c r="BB51" s="25"/>
      <c r="BC51" s="25"/>
      <c r="BD51" s="25"/>
      <c r="BE51" s="25"/>
      <c r="BF51" s="25"/>
      <c r="BG51" s="207"/>
      <c r="BH51" s="180"/>
      <c r="BJ51" s="26"/>
      <c r="BK51" s="14"/>
      <c r="BL51" s="25"/>
      <c r="BN51" s="26"/>
      <c r="BO51" s="14"/>
      <c r="BP51" s="25"/>
      <c r="BR51" s="26"/>
      <c r="BS51" s="14"/>
      <c r="BT51" s="25"/>
    </row>
    <row r="52" spans="1:74" ht="15.6">
      <c r="A52" s="804"/>
      <c r="B52" s="848" t="s">
        <v>424</v>
      </c>
      <c r="D52" s="89" t="s">
        <v>23</v>
      </c>
      <c r="E52" s="72"/>
      <c r="F52" s="89"/>
      <c r="G52" s="89"/>
      <c r="H52" s="94">
        <f t="shared" ref="H52:I52" si="10">H53</f>
        <v>0</v>
      </c>
      <c r="I52" s="94">
        <f t="shared" si="10"/>
        <v>0</v>
      </c>
      <c r="J52" s="32"/>
      <c r="K52" s="88">
        <v>2</v>
      </c>
      <c r="L52" s="1105">
        <f>M52/K52</f>
        <v>6000</v>
      </c>
      <c r="M52" s="73">
        <f>M53</f>
        <v>12000</v>
      </c>
      <c r="N52" s="1088"/>
      <c r="O52" s="1124">
        <f>P52/K52</f>
        <v>6440</v>
      </c>
      <c r="P52" s="1130">
        <v>12880</v>
      </c>
      <c r="Q52" s="1088"/>
      <c r="R52" s="198"/>
      <c r="S52" s="580"/>
      <c r="T52" s="73">
        <f>S14*M52</f>
        <v>13200.000000000002</v>
      </c>
      <c r="U52" s="8"/>
      <c r="V52" s="8"/>
      <c r="W52" s="198"/>
      <c r="X52" s="580"/>
      <c r="Y52" s="73">
        <f>X14*M52</f>
        <v>15000</v>
      </c>
      <c r="Z52" s="8"/>
      <c r="AA52" s="8"/>
      <c r="AB52" s="198"/>
      <c r="AC52" s="580"/>
      <c r="AD52" s="73">
        <f>AC14*M52</f>
        <v>18000</v>
      </c>
      <c r="AE52" s="8"/>
      <c r="AF52" s="8"/>
      <c r="AG52" s="198"/>
      <c r="AH52" s="889"/>
      <c r="AI52" s="8"/>
      <c r="AJ52" s="513">
        <f>MROUND(M52,1000)</f>
        <v>12000</v>
      </c>
      <c r="AK52" s="8"/>
      <c r="AL52" s="198"/>
      <c r="AM52" s="8"/>
      <c r="AN52" s="534"/>
      <c r="AO52" s="73">
        <f>AO53</f>
        <v>12000</v>
      </c>
      <c r="AP52" s="8"/>
      <c r="AQ52" s="144"/>
      <c r="AR52" s="8"/>
      <c r="AS52" s="497"/>
      <c r="AT52" s="8"/>
      <c r="AU52" s="8"/>
      <c r="AV52" s="8"/>
      <c r="AW52" s="8"/>
      <c r="AX52" s="73">
        <v>10000</v>
      </c>
      <c r="AY52" s="8"/>
      <c r="AZ52" s="198"/>
      <c r="BA52" s="144"/>
      <c r="BB52" s="8"/>
      <c r="BC52" s="8"/>
      <c r="BD52" s="8"/>
      <c r="BE52" s="73">
        <v>14888</v>
      </c>
      <c r="BF52" s="8"/>
      <c r="BG52" s="198"/>
      <c r="BH52" s="144"/>
      <c r="BJ52" s="10"/>
      <c r="BK52" s="131"/>
      <c r="BL52" s="8"/>
      <c r="BN52" s="10"/>
      <c r="BO52" s="131"/>
      <c r="BP52" s="8"/>
      <c r="BR52" s="88">
        <v>1</v>
      </c>
      <c r="BS52" s="112"/>
      <c r="BT52" s="73">
        <f>BT53</f>
        <v>10000</v>
      </c>
    </row>
    <row r="53" spans="1:74" ht="15.6">
      <c r="A53" s="804"/>
      <c r="B53" s="848"/>
      <c r="D53" s="11"/>
      <c r="E53" s="1" t="s">
        <v>23</v>
      </c>
      <c r="F53" s="11"/>
      <c r="G53" s="11"/>
      <c r="H53" s="1"/>
      <c r="I53" s="1"/>
      <c r="J53" s="26"/>
      <c r="K53" s="26">
        <v>2</v>
      </c>
      <c r="L53" s="224">
        <v>6000</v>
      </c>
      <c r="M53" s="25">
        <f>K53*L53</f>
        <v>12000</v>
      </c>
      <c r="N53" s="1089"/>
      <c r="O53" s="1128"/>
      <c r="P53" s="1128"/>
      <c r="Q53" s="1089"/>
      <c r="R53" s="207"/>
      <c r="S53" s="562"/>
      <c r="T53" s="25">
        <f>S14*M53</f>
        <v>13200.000000000002</v>
      </c>
      <c r="U53" s="25"/>
      <c r="V53" s="25"/>
      <c r="W53" s="207"/>
      <c r="X53" s="562"/>
      <c r="Y53" s="25">
        <f>X14*M53</f>
        <v>15000</v>
      </c>
      <c r="Z53" s="25"/>
      <c r="AA53" s="25"/>
      <c r="AB53" s="207"/>
      <c r="AC53" s="562"/>
      <c r="AD53" s="25">
        <f>AC14*M53</f>
        <v>18000</v>
      </c>
      <c r="AE53" s="25"/>
      <c r="AF53" s="25"/>
      <c r="AG53" s="207"/>
      <c r="AH53" s="893"/>
      <c r="AI53" s="25"/>
      <c r="AJ53" s="180"/>
      <c r="AK53" s="25"/>
      <c r="AL53" s="207"/>
      <c r="AM53" s="25"/>
      <c r="AN53" s="541"/>
      <c r="AO53" s="600">
        <v>12000</v>
      </c>
      <c r="AP53" s="600"/>
      <c r="AQ53" s="601" t="s">
        <v>127</v>
      </c>
      <c r="AR53" s="600"/>
      <c r="AS53" s="596">
        <f>AO53-T53</f>
        <v>-1200.0000000000018</v>
      </c>
      <c r="AT53" s="25"/>
      <c r="AU53" s="25"/>
      <c r="AV53" s="25"/>
      <c r="AW53" s="25"/>
      <c r="AX53" s="25"/>
      <c r="AY53" s="25"/>
      <c r="AZ53" s="207"/>
      <c r="BA53" s="757"/>
      <c r="BB53" s="25"/>
      <c r="BC53" s="25"/>
      <c r="BD53" s="25"/>
      <c r="BE53" s="25"/>
      <c r="BF53" s="25"/>
      <c r="BG53" s="207"/>
      <c r="BH53" s="757"/>
      <c r="BJ53" s="757" t="s">
        <v>264</v>
      </c>
      <c r="BK53" s="35"/>
      <c r="BL53" s="25"/>
      <c r="BN53" s="14"/>
      <c r="BO53" s="35"/>
      <c r="BP53" s="25"/>
      <c r="BR53" s="14"/>
      <c r="BS53" s="35" t="s">
        <v>0</v>
      </c>
      <c r="BT53" s="25">
        <v>10000</v>
      </c>
    </row>
    <row r="54" spans="1:74" ht="15.6">
      <c r="B54" s="848"/>
      <c r="D54" s="11"/>
      <c r="E54" s="36"/>
      <c r="F54" s="11"/>
      <c r="G54" s="11"/>
      <c r="H54" s="11"/>
      <c r="I54" s="11"/>
      <c r="J54" s="90"/>
      <c r="K54" s="37"/>
      <c r="L54" s="38"/>
      <c r="M54" s="39" t="s">
        <v>0</v>
      </c>
      <c r="N54" s="1092"/>
      <c r="O54" s="1128"/>
      <c r="P54" s="1128"/>
      <c r="Q54" s="1092"/>
      <c r="R54" s="209"/>
      <c r="S54" s="567"/>
      <c r="T54" s="39"/>
      <c r="U54" s="39"/>
      <c r="V54" s="39"/>
      <c r="W54" s="209"/>
      <c r="X54" s="39"/>
      <c r="Y54" s="39"/>
      <c r="Z54" s="39"/>
      <c r="AA54" s="39"/>
      <c r="AB54" s="209"/>
      <c r="AC54" s="39"/>
      <c r="AD54" s="39"/>
      <c r="AE54" s="39"/>
      <c r="AF54" s="39"/>
      <c r="AG54" s="209"/>
      <c r="AH54" s="898"/>
      <c r="AI54" s="39"/>
      <c r="AJ54" s="181"/>
      <c r="AK54" s="39"/>
      <c r="AL54" s="209"/>
      <c r="AM54" s="39"/>
      <c r="AN54" s="543"/>
      <c r="AO54" s="39"/>
      <c r="AP54" s="39"/>
      <c r="AQ54" s="181"/>
      <c r="AR54" s="39"/>
      <c r="AS54" s="504"/>
      <c r="AT54" s="39"/>
      <c r="AU54" s="39"/>
      <c r="AV54" s="39"/>
      <c r="AW54" s="39"/>
      <c r="AX54" s="39"/>
      <c r="AY54" s="39"/>
      <c r="AZ54" s="209"/>
      <c r="BA54" s="181"/>
      <c r="BB54" s="39"/>
      <c r="BC54" s="39"/>
      <c r="BD54" s="39"/>
      <c r="BE54" s="39"/>
      <c r="BF54" s="39"/>
      <c r="BG54" s="209"/>
      <c r="BH54" s="181"/>
      <c r="BJ54" s="37"/>
      <c r="BK54" s="131"/>
      <c r="BL54" s="39"/>
      <c r="BN54" s="14"/>
      <c r="BO54" s="131"/>
      <c r="BP54" s="39"/>
      <c r="BR54" s="39"/>
      <c r="BS54" s="39"/>
      <c r="BT54" s="39"/>
    </row>
    <row r="55" spans="1:74" ht="16.8">
      <c r="A55" s="41"/>
      <c r="B55" s="850"/>
      <c r="C55" s="40"/>
      <c r="D55" s="40"/>
      <c r="E55" s="41"/>
      <c r="F55" s="40"/>
      <c r="G55" s="40"/>
      <c r="H55" s="40"/>
      <c r="I55" s="40"/>
      <c r="J55" s="26"/>
      <c r="K55" s="105">
        <v>574</v>
      </c>
      <c r="L55" s="1106" t="s">
        <v>548</v>
      </c>
      <c r="M55" s="44" t="s">
        <v>0</v>
      </c>
      <c r="N55" s="585"/>
      <c r="O55" s="1133"/>
      <c r="P55" s="1133"/>
      <c r="Q55" s="585"/>
      <c r="R55" s="210"/>
      <c r="S55" s="568"/>
      <c r="T55" s="44"/>
      <c r="U55" s="44"/>
      <c r="V55" s="44"/>
      <c r="W55" s="210"/>
      <c r="X55" s="44"/>
      <c r="Y55" s="44"/>
      <c r="Z55" s="44"/>
      <c r="AA55" s="44"/>
      <c r="AB55" s="210"/>
      <c r="AC55" s="44"/>
      <c r="AD55" s="44"/>
      <c r="AE55" s="44"/>
      <c r="AF55" s="44"/>
      <c r="AG55" s="210"/>
      <c r="AH55" s="899"/>
      <c r="AI55" s="44"/>
      <c r="AJ55" s="182"/>
      <c r="AK55" s="44"/>
      <c r="AL55" s="210"/>
      <c r="AM55" s="44"/>
      <c r="AN55" s="544"/>
      <c r="AO55" s="44"/>
      <c r="AP55" s="44"/>
      <c r="AQ55" s="182"/>
      <c r="AR55" s="44"/>
      <c r="AS55" s="505"/>
      <c r="AT55" s="44"/>
      <c r="AU55" s="585"/>
      <c r="AV55" s="127"/>
      <c r="AW55" s="587"/>
      <c r="AX55" s="105" t="s">
        <v>443</v>
      </c>
      <c r="AY55" s="44"/>
      <c r="AZ55" s="210"/>
      <c r="BA55" s="223" t="s">
        <v>444</v>
      </c>
      <c r="BB55" s="127"/>
      <c r="BC55" s="127"/>
      <c r="BD55" s="587"/>
      <c r="BE55" s="105" t="s">
        <v>49</v>
      </c>
      <c r="BF55" s="44"/>
      <c r="BG55" s="210"/>
      <c r="BH55" s="223" t="s">
        <v>50</v>
      </c>
      <c r="BJ55" s="132"/>
      <c r="BK55" s="139"/>
      <c r="BL55" s="127"/>
      <c r="BN55" s="132"/>
      <c r="BO55" s="10"/>
      <c r="BP55" s="127"/>
      <c r="BR55" s="105">
        <v>724</v>
      </c>
      <c r="BS55" s="43"/>
      <c r="BT55" s="44" t="s">
        <v>0</v>
      </c>
      <c r="BV55" s="97"/>
    </row>
    <row r="56" spans="1:74" ht="19.5" customHeight="1">
      <c r="A56" s="41"/>
      <c r="B56" s="851" t="s">
        <v>555</v>
      </c>
      <c r="C56" s="40" t="s">
        <v>289</v>
      </c>
      <c r="D56" s="40"/>
      <c r="E56" s="41"/>
      <c r="F56" s="40"/>
      <c r="G56" s="40"/>
      <c r="H56" s="42">
        <f>H57</f>
        <v>454</v>
      </c>
      <c r="I56" s="42">
        <f>I57+I63</f>
        <v>574</v>
      </c>
      <c r="J56" s="26"/>
      <c r="K56" s="818">
        <f>K57+K63</f>
        <v>568</v>
      </c>
      <c r="L56" s="44">
        <f>M56/$K$56</f>
        <v>930</v>
      </c>
      <c r="M56" s="44">
        <f>M57+M63</f>
        <v>528240</v>
      </c>
      <c r="N56" s="585"/>
      <c r="O56" s="1133">
        <f>P56/K56</f>
        <v>924.91725352112678</v>
      </c>
      <c r="P56" s="1133">
        <f>P57+P63</f>
        <v>525353</v>
      </c>
      <c r="Q56" s="585"/>
      <c r="R56" s="210"/>
      <c r="S56" s="568">
        <v>1.1000000000000001</v>
      </c>
      <c r="T56" s="44">
        <f>S56*M56</f>
        <v>581064</v>
      </c>
      <c r="U56" s="44"/>
      <c r="V56" s="44"/>
      <c r="W56" s="210"/>
      <c r="X56" s="568">
        <v>1.3</v>
      </c>
      <c r="Y56" s="44">
        <f>X56*M56</f>
        <v>686712</v>
      </c>
      <c r="Z56" s="44"/>
      <c r="AA56" s="44"/>
      <c r="AB56" s="210"/>
      <c r="AC56" s="568">
        <v>1.5</v>
      </c>
      <c r="AD56" s="44">
        <f>AC56*M56</f>
        <v>792360</v>
      </c>
      <c r="AE56" s="44"/>
      <c r="AF56" s="44"/>
      <c r="AG56" s="210"/>
      <c r="AH56" s="899">
        <f>_xlfn.PERCENTOF(M56,M176)</f>
        <v>0.45241133597691008</v>
      </c>
      <c r="AI56" s="44"/>
      <c r="AJ56" s="182">
        <f>MROUND(M56,1000)</f>
        <v>528000</v>
      </c>
      <c r="AK56" s="44"/>
      <c r="AL56" s="210"/>
      <c r="AM56" s="44"/>
      <c r="AN56" s="544"/>
      <c r="AO56" s="44" t="e">
        <f>AO57+AO63</f>
        <v>#REF!</v>
      </c>
      <c r="AP56" s="44"/>
      <c r="AQ56" s="182"/>
      <c r="AR56" s="44"/>
      <c r="AS56" s="505" t="e">
        <f>AO56-T56</f>
        <v>#REF!</v>
      </c>
      <c r="AT56" s="44"/>
      <c r="AU56" s="585"/>
      <c r="AV56" s="127"/>
      <c r="AW56" s="587"/>
      <c r="AX56" s="44">
        <f>AX57+AX63</f>
        <v>760200</v>
      </c>
      <c r="AY56" s="44"/>
      <c r="AZ56" s="210"/>
      <c r="BA56" s="182">
        <f>M56-AX56</f>
        <v>-231960</v>
      </c>
      <c r="BB56" s="127"/>
      <c r="BC56" s="127"/>
      <c r="BD56" s="587"/>
      <c r="BE56" s="44">
        <f>BE57+BE63</f>
        <v>789685</v>
      </c>
      <c r="BF56" s="44"/>
      <c r="BG56" s="210"/>
      <c r="BH56" s="182">
        <f>M56-BE56</f>
        <v>-261445</v>
      </c>
      <c r="BI56" s="119"/>
      <c r="BJ56" s="10"/>
      <c r="BK56" s="10"/>
      <c r="BL56" s="127"/>
      <c r="BN56" s="10"/>
      <c r="BO56" s="10"/>
      <c r="BP56" s="127"/>
      <c r="BR56" s="43">
        <f>BR57</f>
        <v>714</v>
      </c>
      <c r="BS56" s="43"/>
      <c r="BT56" s="44">
        <f>BT57</f>
        <v>749700</v>
      </c>
    </row>
    <row r="57" spans="1:74" ht="15.6">
      <c r="A57" s="811"/>
      <c r="D57" s="89" t="s">
        <v>431</v>
      </c>
      <c r="E57" s="74"/>
      <c r="F57" s="89"/>
      <c r="G57" s="89"/>
      <c r="H57" s="94">
        <f>SUM(H58:H61)</f>
        <v>454</v>
      </c>
      <c r="I57" s="94">
        <f>SUM(I58:I61)</f>
        <v>474</v>
      </c>
      <c r="J57" s="26"/>
      <c r="K57" s="45">
        <f>SUM(K58:K61)</f>
        <v>468</v>
      </c>
      <c r="L57" s="1105">
        <f>M57/K57</f>
        <v>930</v>
      </c>
      <c r="M57" s="73">
        <f>SUM(M58:M61)</f>
        <v>435240</v>
      </c>
      <c r="N57" s="1088"/>
      <c r="O57" s="1124">
        <f>P57/K57</f>
        <v>924.53418803418799</v>
      </c>
      <c r="P57" s="1134">
        <v>432682</v>
      </c>
      <c r="Q57" s="585"/>
      <c r="R57" s="198"/>
      <c r="S57" s="772"/>
      <c r="T57" s="73">
        <f>S56*M57</f>
        <v>478764.00000000006</v>
      </c>
      <c r="U57" s="8"/>
      <c r="V57" s="8"/>
      <c r="W57" s="198"/>
      <c r="X57" s="73"/>
      <c r="Y57" s="73">
        <f>X56*M57</f>
        <v>565812</v>
      </c>
      <c r="Z57" s="8"/>
      <c r="AA57" s="8"/>
      <c r="AB57" s="198"/>
      <c r="AC57" s="73"/>
      <c r="AD57" s="73">
        <f>AC56*M57</f>
        <v>652860</v>
      </c>
      <c r="AE57" s="8"/>
      <c r="AF57" s="8"/>
      <c r="AG57" s="198"/>
      <c r="AH57" s="889"/>
      <c r="AI57" s="8"/>
      <c r="AJ57" s="144"/>
      <c r="AK57" s="8"/>
      <c r="AL57" s="198"/>
      <c r="AM57" s="8"/>
      <c r="AN57" s="534"/>
      <c r="AO57" s="603">
        <f>SUM(AO58:AO61)</f>
        <v>440820</v>
      </c>
      <c r="AP57" s="602"/>
      <c r="AQ57" s="604"/>
      <c r="AR57" s="602"/>
      <c r="AS57" s="605"/>
      <c r="AT57" s="8"/>
      <c r="AU57" s="8"/>
      <c r="AV57" s="8"/>
      <c r="AW57" s="8"/>
      <c r="AX57" s="73">
        <f>SUM(AX58)</f>
        <v>632100</v>
      </c>
      <c r="AY57" s="8"/>
      <c r="AZ57" s="198"/>
      <c r="BA57" s="144"/>
      <c r="BB57" s="8"/>
      <c r="BC57" s="8"/>
      <c r="BD57" s="8"/>
      <c r="BE57" s="73">
        <f>SUM(BE58)</f>
        <v>681103</v>
      </c>
      <c r="BF57" s="8"/>
      <c r="BG57" s="198"/>
      <c r="BH57" s="144"/>
      <c r="BJ57" s="142" t="s">
        <v>404</v>
      </c>
      <c r="BK57" s="10"/>
      <c r="BL57" s="8"/>
      <c r="BN57" s="140" t="s">
        <v>0</v>
      </c>
      <c r="BO57" s="10"/>
      <c r="BP57" s="8"/>
      <c r="BR57" s="45">
        <f>SUM(BR58:BR67)</f>
        <v>714</v>
      </c>
      <c r="BS57" s="88"/>
      <c r="BT57" s="73">
        <f>SUM(BT58:BT67)</f>
        <v>749700</v>
      </c>
    </row>
    <row r="58" spans="1:74" ht="15.6">
      <c r="A58" s="811"/>
      <c r="B58" s="848" t="s">
        <v>426</v>
      </c>
      <c r="D58" s="24"/>
      <c r="E58" s="1" t="s">
        <v>385</v>
      </c>
      <c r="F58" s="24"/>
      <c r="G58" s="24"/>
      <c r="H58" s="753">
        <v>454</v>
      </c>
      <c r="I58" s="753">
        <v>293</v>
      </c>
      <c r="J58" s="753"/>
      <c r="K58" s="28">
        <v>468</v>
      </c>
      <c r="L58" s="1118">
        <v>930</v>
      </c>
      <c r="M58" s="71">
        <f>K58*L58</f>
        <v>435240</v>
      </c>
      <c r="N58" s="71"/>
      <c r="O58" s="1127"/>
      <c r="P58" s="1127"/>
      <c r="Q58" s="585"/>
      <c r="R58" s="200"/>
      <c r="S58" s="500"/>
      <c r="T58" s="70">
        <f>S56*M58</f>
        <v>478764.00000000006</v>
      </c>
      <c r="U58" s="70"/>
      <c r="V58" s="70"/>
      <c r="W58" s="200"/>
      <c r="X58" s="768"/>
      <c r="Y58" s="70">
        <f>X56*M58</f>
        <v>565812</v>
      </c>
      <c r="Z58" s="70"/>
      <c r="AA58" s="70"/>
      <c r="AB58" s="200"/>
      <c r="AC58" s="768"/>
      <c r="AD58" s="70">
        <f>AC56*M58</f>
        <v>652860</v>
      </c>
      <c r="AE58" s="70"/>
      <c r="AF58" s="70"/>
      <c r="AG58" s="200"/>
      <c r="AH58" s="892"/>
      <c r="AI58" s="70"/>
      <c r="AJ58" s="29"/>
      <c r="AK58" s="70"/>
      <c r="AL58" s="200"/>
      <c r="AM58" s="70"/>
      <c r="AN58" s="536"/>
      <c r="AO58" s="70">
        <v>218550</v>
      </c>
      <c r="AP58" s="70"/>
      <c r="AQ58" s="29" t="s">
        <v>170</v>
      </c>
      <c r="AR58" s="70"/>
      <c r="AS58" s="501">
        <f>AO58-T58</f>
        <v>-260214.00000000006</v>
      </c>
      <c r="AT58" s="70"/>
      <c r="AU58" s="71"/>
      <c r="AV58" s="71"/>
      <c r="AW58" s="70"/>
      <c r="AX58" s="70">
        <v>632100</v>
      </c>
      <c r="AY58" s="70"/>
      <c r="AZ58" s="200"/>
      <c r="BA58" s="29"/>
      <c r="BB58" s="71"/>
      <c r="BC58" s="71"/>
      <c r="BD58" s="70"/>
      <c r="BE58" s="70">
        <v>681103</v>
      </c>
      <c r="BF58" s="70"/>
      <c r="BG58" s="200"/>
      <c r="BH58" s="29"/>
      <c r="BJ58" s="142"/>
      <c r="BK58" s="126"/>
      <c r="BL58" s="71"/>
      <c r="BN58" s="26"/>
      <c r="BO58" s="126"/>
      <c r="BP58" s="71"/>
      <c r="BR58" s="26">
        <f>24+96+264+96+8+28+2</f>
        <v>518</v>
      </c>
      <c r="BS58" s="70">
        <v>1050</v>
      </c>
      <c r="BT58" s="70">
        <f t="shared" ref="BT58:BT67" si="11">BS58*BR58</f>
        <v>543900</v>
      </c>
    </row>
    <row r="59" spans="1:74" ht="15.6">
      <c r="A59" s="811"/>
      <c r="B59" s="848" t="s">
        <v>426</v>
      </c>
      <c r="D59" s="24"/>
      <c r="E59" s="1" t="s">
        <v>290</v>
      </c>
      <c r="F59" s="24"/>
      <c r="G59" s="24"/>
      <c r="H59" s="753">
        <v>0</v>
      </c>
      <c r="I59" s="753">
        <v>181</v>
      </c>
      <c r="J59" s="753"/>
      <c r="K59" s="28">
        <v>0</v>
      </c>
      <c r="L59" s="1118">
        <v>930</v>
      </c>
      <c r="M59" s="71">
        <f>K59*L59</f>
        <v>0</v>
      </c>
      <c r="N59" s="71"/>
      <c r="O59" s="1127"/>
      <c r="P59" s="1127"/>
      <c r="Q59" s="71"/>
      <c r="R59" s="200"/>
      <c r="S59" s="500"/>
      <c r="T59" s="70">
        <f>S56*M59</f>
        <v>0</v>
      </c>
      <c r="U59" s="70"/>
      <c r="V59" s="70"/>
      <c r="W59" s="200"/>
      <c r="X59" s="769"/>
      <c r="Y59" s="70">
        <f>X56*M59</f>
        <v>0</v>
      </c>
      <c r="Z59" s="70"/>
      <c r="AA59" s="70"/>
      <c r="AB59" s="200"/>
      <c r="AC59" s="768"/>
      <c r="AD59" s="70">
        <f>AC56*M59</f>
        <v>0</v>
      </c>
      <c r="AE59" s="70"/>
      <c r="AF59" s="70"/>
      <c r="AG59" s="200"/>
      <c r="AH59" s="892"/>
      <c r="AI59" s="70"/>
      <c r="AJ59" s="29"/>
      <c r="AK59" s="70"/>
      <c r="AL59" s="200"/>
      <c r="AM59" s="70"/>
      <c r="AN59" s="536"/>
      <c r="AO59" s="70">
        <v>133920</v>
      </c>
      <c r="AP59" s="70"/>
      <c r="AQ59" s="29" t="s">
        <v>171</v>
      </c>
      <c r="AR59" s="70"/>
      <c r="AS59" s="501">
        <f>AO59-T59</f>
        <v>133920</v>
      </c>
      <c r="AT59" s="70"/>
      <c r="AU59" s="71"/>
      <c r="AV59" s="71"/>
      <c r="AW59" s="70"/>
      <c r="AX59" s="70"/>
      <c r="AY59" s="70"/>
      <c r="AZ59" s="200"/>
      <c r="BA59" s="29"/>
      <c r="BB59" s="71"/>
      <c r="BC59" s="71"/>
      <c r="BD59" s="70"/>
      <c r="BE59" s="70"/>
      <c r="BF59" s="70"/>
      <c r="BG59" s="200"/>
      <c r="BH59" s="29"/>
      <c r="BJ59" s="142"/>
      <c r="BK59" s="126"/>
      <c r="BL59" s="71"/>
      <c r="BN59" s="26"/>
      <c r="BO59" s="126"/>
      <c r="BP59" s="71"/>
      <c r="BR59" s="26"/>
      <c r="BS59" s="70"/>
      <c r="BT59" s="70"/>
    </row>
    <row r="60" spans="1:74" ht="15.6">
      <c r="A60" s="811"/>
      <c r="B60" s="848" t="s">
        <v>427</v>
      </c>
      <c r="D60" s="24"/>
      <c r="E60" s="1" t="s">
        <v>449</v>
      </c>
      <c r="F60" s="149"/>
      <c r="G60" s="149"/>
      <c r="H60" s="753">
        <v>0</v>
      </c>
      <c r="I60" s="753">
        <v>0</v>
      </c>
      <c r="J60" s="753"/>
      <c r="K60" s="761">
        <v>0</v>
      </c>
      <c r="L60" s="1118">
        <v>930</v>
      </c>
      <c r="M60" s="71">
        <f>K60*L60</f>
        <v>0</v>
      </c>
      <c r="N60" s="71"/>
      <c r="O60" s="1127"/>
      <c r="P60" s="1127"/>
      <c r="Q60" s="71"/>
      <c r="R60" s="200"/>
      <c r="S60" s="500"/>
      <c r="T60" s="70">
        <f>S56*M60</f>
        <v>0</v>
      </c>
      <c r="U60" s="70"/>
      <c r="V60" s="70"/>
      <c r="W60" s="200"/>
      <c r="X60" s="768"/>
      <c r="Y60" s="70">
        <f>X56*M60</f>
        <v>0</v>
      </c>
      <c r="Z60" s="70"/>
      <c r="AA60" s="70"/>
      <c r="AB60" s="200"/>
      <c r="AC60" s="768"/>
      <c r="AD60" s="70">
        <f>AC56*M60</f>
        <v>0</v>
      </c>
      <c r="AE60" s="70"/>
      <c r="AF60" s="70"/>
      <c r="AG60" s="200"/>
      <c r="AH60" s="892"/>
      <c r="AI60" s="70"/>
      <c r="AJ60" s="29"/>
      <c r="AK60" s="70"/>
      <c r="AL60" s="200"/>
      <c r="AM60" s="70"/>
      <c r="AN60" s="536"/>
      <c r="AO60" s="70">
        <v>88350</v>
      </c>
      <c r="AP60" s="70"/>
      <c r="AQ60" s="29" t="s">
        <v>169</v>
      </c>
      <c r="AR60" s="70"/>
      <c r="AS60" s="501">
        <f>AO60-T60</f>
        <v>88350</v>
      </c>
      <c r="AT60" s="70"/>
      <c r="AU60" s="71"/>
      <c r="AV60" s="71"/>
      <c r="AW60" s="70"/>
      <c r="AX60" s="143"/>
      <c r="AY60" s="70"/>
      <c r="AZ60" s="200"/>
      <c r="BA60" s="29"/>
      <c r="BB60" s="71"/>
      <c r="BC60" s="71"/>
      <c r="BD60" s="70"/>
      <c r="BE60" s="143"/>
      <c r="BF60" s="70"/>
      <c r="BG60" s="200"/>
      <c r="BH60" s="29"/>
      <c r="BJ60" s="142"/>
      <c r="BN60" s="26"/>
      <c r="BO60" s="126"/>
      <c r="BP60" s="71"/>
      <c r="BR60" s="26">
        <v>84</v>
      </c>
      <c r="BS60" s="70">
        <v>1050</v>
      </c>
      <c r="BT60" s="15">
        <f t="shared" si="11"/>
        <v>88200</v>
      </c>
    </row>
    <row r="61" spans="1:74" ht="15.6">
      <c r="A61" s="811"/>
      <c r="B61" s="848" t="s">
        <v>428</v>
      </c>
      <c r="D61" s="24"/>
      <c r="E61" s="1" t="s">
        <v>291</v>
      </c>
      <c r="F61" s="149"/>
      <c r="G61" s="149"/>
      <c r="H61" s="753">
        <v>0</v>
      </c>
      <c r="I61" s="753">
        <v>0</v>
      </c>
      <c r="J61" s="753"/>
      <c r="K61" s="28">
        <v>0</v>
      </c>
      <c r="L61" s="1113">
        <v>0</v>
      </c>
      <c r="M61" s="71">
        <f>K61*L61</f>
        <v>0</v>
      </c>
      <c r="N61" s="71"/>
      <c r="O61" s="1127"/>
      <c r="P61" s="1127"/>
      <c r="Q61" s="71"/>
      <c r="R61" s="200"/>
      <c r="S61" s="500"/>
      <c r="T61" s="70">
        <f>S57*M61</f>
        <v>0</v>
      </c>
      <c r="U61" s="70"/>
      <c r="V61" s="70"/>
      <c r="W61" s="200"/>
      <c r="X61" s="768"/>
      <c r="Y61" s="70">
        <f>X57*M61</f>
        <v>0</v>
      </c>
      <c r="Z61" s="70"/>
      <c r="AA61" s="70"/>
      <c r="AB61" s="200"/>
      <c r="AC61" s="768"/>
      <c r="AD61" s="70">
        <f>AC57*M61</f>
        <v>0</v>
      </c>
      <c r="AE61" s="70"/>
      <c r="AF61" s="70"/>
      <c r="AG61" s="200"/>
      <c r="AH61" s="892"/>
      <c r="AI61" s="70"/>
      <c r="AJ61" s="29"/>
      <c r="AK61" s="70"/>
      <c r="AL61" s="200"/>
      <c r="AM61" s="70"/>
      <c r="AN61" s="536"/>
      <c r="AO61" s="70">
        <v>0</v>
      </c>
      <c r="AP61" s="70"/>
      <c r="AQ61" s="29"/>
      <c r="AR61" s="70"/>
      <c r="AS61" s="501">
        <f>AO61-T61</f>
        <v>0</v>
      </c>
      <c r="AT61" s="70"/>
      <c r="AU61" s="71"/>
      <c r="AV61" s="71"/>
      <c r="AW61" s="70"/>
      <c r="AX61" s="70"/>
      <c r="AY61" s="70"/>
      <c r="AZ61" s="200"/>
      <c r="BA61" s="29"/>
      <c r="BB61" s="71"/>
      <c r="BC61" s="71"/>
      <c r="BD61" s="70"/>
      <c r="BE61" s="70"/>
      <c r="BF61" s="70"/>
      <c r="BG61" s="200"/>
      <c r="BH61" s="29"/>
      <c r="BJ61" s="142"/>
      <c r="BN61" s="26"/>
      <c r="BO61" s="126"/>
      <c r="BP61" s="71"/>
      <c r="BR61" s="26"/>
      <c r="BS61" s="70"/>
      <c r="BT61" s="15"/>
    </row>
    <row r="62" spans="1:74" ht="13.8">
      <c r="D62" s="24"/>
      <c r="E62" s="1"/>
      <c r="F62" s="103"/>
      <c r="G62" s="103"/>
      <c r="H62" s="103"/>
      <c r="I62" s="103"/>
      <c r="J62" s="753"/>
      <c r="K62" s="28"/>
      <c r="L62" s="1113"/>
      <c r="M62" s="584"/>
      <c r="N62" s="584"/>
      <c r="O62" s="1126"/>
      <c r="P62" s="1126"/>
      <c r="Q62" s="584"/>
      <c r="R62" s="200"/>
      <c r="S62" s="498"/>
      <c r="T62" s="15"/>
      <c r="U62" s="15"/>
      <c r="V62" s="15"/>
      <c r="W62" s="200"/>
      <c r="X62" s="770"/>
      <c r="Y62" s="15"/>
      <c r="Z62" s="15"/>
      <c r="AA62" s="15"/>
      <c r="AB62" s="200"/>
      <c r="AC62" s="770"/>
      <c r="AD62" s="15"/>
      <c r="AE62" s="15"/>
      <c r="AF62" s="15"/>
      <c r="AG62" s="200"/>
      <c r="AH62" s="890"/>
      <c r="AI62" s="15"/>
      <c r="AJ62" s="27"/>
      <c r="AK62" s="15"/>
      <c r="AL62" s="200"/>
      <c r="AM62" s="15"/>
      <c r="AN62" s="536"/>
      <c r="AO62" s="15"/>
      <c r="AP62" s="15"/>
      <c r="AQ62" s="27"/>
      <c r="AR62" s="15"/>
      <c r="AS62" s="498"/>
      <c r="AT62" s="15"/>
      <c r="AU62" s="584"/>
      <c r="AV62" s="71"/>
      <c r="AW62" s="70"/>
      <c r="AX62" s="15"/>
      <c r="AY62" s="15"/>
      <c r="AZ62" s="200"/>
      <c r="BA62" s="27"/>
      <c r="BB62" s="71"/>
      <c r="BC62" s="71"/>
      <c r="BD62" s="70"/>
      <c r="BE62" s="15"/>
      <c r="BF62" s="15"/>
      <c r="BG62" s="200"/>
      <c r="BH62" s="27"/>
      <c r="BJ62" s="142"/>
      <c r="BN62" s="26"/>
      <c r="BO62" s="126"/>
      <c r="BP62" s="71"/>
      <c r="BR62" s="26"/>
      <c r="BS62" s="70"/>
      <c r="BT62" s="15"/>
    </row>
    <row r="63" spans="1:74" ht="15.6">
      <c r="A63" s="811"/>
      <c r="D63" s="89" t="s">
        <v>266</v>
      </c>
      <c r="E63" s="74"/>
      <c r="F63" s="89"/>
      <c r="G63" s="89"/>
      <c r="H63" s="94" t="s">
        <v>0</v>
      </c>
      <c r="I63" s="94">
        <f>SUM(I64:I67)</f>
        <v>100</v>
      </c>
      <c r="J63" s="26"/>
      <c r="K63" s="45">
        <f>SUM(K64:K67)</f>
        <v>100</v>
      </c>
      <c r="L63" s="1105">
        <f>M63/K63</f>
        <v>930</v>
      </c>
      <c r="M63" s="1104">
        <f>SUM(M64:M67)</f>
        <v>93000</v>
      </c>
      <c r="N63" s="1088"/>
      <c r="O63" s="1124">
        <f>P63/K63</f>
        <v>926.71</v>
      </c>
      <c r="P63" s="1134">
        <f>SUM(P64:P67)</f>
        <v>92671</v>
      </c>
      <c r="Q63" s="1088"/>
      <c r="R63" s="198"/>
      <c r="S63" s="772"/>
      <c r="T63" s="73">
        <f>S56*M63</f>
        <v>102300.00000000001</v>
      </c>
      <c r="U63" s="8"/>
      <c r="V63" s="8"/>
      <c r="W63" s="198"/>
      <c r="X63" s="73"/>
      <c r="Y63" s="73">
        <f>X56*M63</f>
        <v>120900</v>
      </c>
      <c r="Z63" s="8"/>
      <c r="AA63" s="8"/>
      <c r="AB63" s="198"/>
      <c r="AC63" s="73"/>
      <c r="AD63" s="73">
        <f>AC56*M63</f>
        <v>139500</v>
      </c>
      <c r="AE63" s="8"/>
      <c r="AF63" s="8"/>
      <c r="AG63" s="198"/>
      <c r="AH63" s="889"/>
      <c r="AI63" s="8"/>
      <c r="AJ63" s="144"/>
      <c r="AK63" s="8"/>
      <c r="AL63" s="198"/>
      <c r="AM63" s="8"/>
      <c r="AN63" s="534"/>
      <c r="AO63" s="603" t="e">
        <f>SUM(AO64:AO73)</f>
        <v>#REF!</v>
      </c>
      <c r="AP63" s="602"/>
      <c r="AQ63" s="604"/>
      <c r="AR63" s="602"/>
      <c r="AS63" s="605"/>
      <c r="AT63" s="8"/>
      <c r="AU63" s="8"/>
      <c r="AV63" s="8"/>
      <c r="AW63" s="8"/>
      <c r="AX63" s="73">
        <f>SUM(AX64:AX68)</f>
        <v>128100</v>
      </c>
      <c r="AY63" s="8"/>
      <c r="AZ63" s="198"/>
      <c r="BA63" s="144"/>
      <c r="BB63" s="8"/>
      <c r="BC63" s="8"/>
      <c r="BD63" s="8"/>
      <c r="BE63" s="73">
        <f>SUM(BE64:BE67)</f>
        <v>108582</v>
      </c>
      <c r="BF63" s="8"/>
      <c r="BG63" s="198"/>
      <c r="BH63" s="144"/>
      <c r="BJ63" s="142"/>
      <c r="BN63" s="26"/>
      <c r="BO63" s="126"/>
      <c r="BP63" s="71"/>
      <c r="BR63" s="26"/>
      <c r="BS63" s="70"/>
      <c r="BT63" s="15"/>
    </row>
    <row r="64" spans="1:74" ht="15.6">
      <c r="A64" s="810"/>
      <c r="B64" s="859"/>
      <c r="D64" s="24"/>
      <c r="E64" s="1" t="s">
        <v>25</v>
      </c>
      <c r="F64" s="24"/>
      <c r="G64" s="24"/>
      <c r="H64" s="753">
        <v>20</v>
      </c>
      <c r="I64" s="753">
        <v>20</v>
      </c>
      <c r="J64" s="753"/>
      <c r="K64" s="26">
        <v>20</v>
      </c>
      <c r="L64" s="1118">
        <v>930</v>
      </c>
      <c r="M64" s="584">
        <f t="shared" ref="M64:M67" si="12">L64*K64</f>
        <v>18600</v>
      </c>
      <c r="N64" s="584"/>
      <c r="O64" s="1126"/>
      <c r="P64" s="1126">
        <v>19990</v>
      </c>
      <c r="Q64" s="584"/>
      <c r="R64" s="200"/>
      <c r="S64" s="498"/>
      <c r="T64" s="70">
        <f>S56*M64</f>
        <v>20460</v>
      </c>
      <c r="U64" s="15"/>
      <c r="V64" s="15"/>
      <c r="W64" s="200"/>
      <c r="X64" s="770"/>
      <c r="Y64" s="70">
        <f>X56*M64</f>
        <v>24180</v>
      </c>
      <c r="Z64" s="15"/>
      <c r="AA64" s="15"/>
      <c r="AB64" s="200"/>
      <c r="AC64" s="770"/>
      <c r="AD64" s="70">
        <f>AC56*M64</f>
        <v>27900</v>
      </c>
      <c r="AE64" s="15"/>
      <c r="AF64" s="15"/>
      <c r="AG64" s="200"/>
      <c r="AH64" s="890"/>
      <c r="AI64" s="15"/>
      <c r="AJ64" s="27"/>
      <c r="AK64" s="15"/>
      <c r="AL64" s="200"/>
      <c r="AM64" s="15"/>
      <c r="AN64" s="536"/>
      <c r="AO64" s="15">
        <v>18600</v>
      </c>
      <c r="AP64" s="15"/>
      <c r="AQ64" s="27" t="s">
        <v>167</v>
      </c>
      <c r="AR64" s="15"/>
      <c r="AS64" s="501">
        <f>AO64-T64</f>
        <v>-1860</v>
      </c>
      <c r="AT64" s="15"/>
      <c r="AU64" s="584"/>
      <c r="AV64" s="71"/>
      <c r="AW64" s="70"/>
      <c r="AX64" s="15">
        <v>21000</v>
      </c>
      <c r="AY64" s="15"/>
      <c r="AZ64" s="200"/>
      <c r="BA64" s="27"/>
      <c r="BB64" s="71"/>
      <c r="BC64" s="71"/>
      <c r="BD64" s="70"/>
      <c r="BE64" s="15">
        <v>22560</v>
      </c>
      <c r="BF64" s="15"/>
      <c r="BG64" s="200"/>
      <c r="BH64" s="27"/>
      <c r="BJ64" s="90"/>
      <c r="BK64" s="126"/>
      <c r="BL64" s="71"/>
      <c r="BN64" s="26"/>
      <c r="BO64" s="126"/>
      <c r="BP64" s="71"/>
      <c r="BR64" s="26">
        <v>20</v>
      </c>
      <c r="BS64" s="70">
        <v>1050</v>
      </c>
      <c r="BT64" s="15">
        <f t="shared" si="11"/>
        <v>21000</v>
      </c>
    </row>
    <row r="65" spans="1:74" ht="15.6">
      <c r="A65" s="809"/>
      <c r="B65" s="848" t="s">
        <v>429</v>
      </c>
      <c r="D65" s="24"/>
      <c r="E65" s="1" t="s">
        <v>292</v>
      </c>
      <c r="F65" s="24"/>
      <c r="G65" s="24"/>
      <c r="H65" s="753" t="s">
        <v>31</v>
      </c>
      <c r="I65" s="753">
        <v>42</v>
      </c>
      <c r="J65" s="753"/>
      <c r="K65" s="26">
        <v>42</v>
      </c>
      <c r="L65" s="1118">
        <v>930</v>
      </c>
      <c r="M65" s="584">
        <f t="shared" si="12"/>
        <v>39060</v>
      </c>
      <c r="N65" s="584"/>
      <c r="O65" s="1126"/>
      <c r="P65" s="1126">
        <v>37094</v>
      </c>
      <c r="Q65" s="584"/>
      <c r="R65" s="200"/>
      <c r="S65" s="498"/>
      <c r="T65" s="70">
        <f>S56*M65</f>
        <v>42966</v>
      </c>
      <c r="U65" s="15"/>
      <c r="V65" s="15"/>
      <c r="W65" s="200"/>
      <c r="X65" s="770"/>
      <c r="Y65" s="70">
        <f>X56*M65</f>
        <v>50778</v>
      </c>
      <c r="Z65" s="15"/>
      <c r="AA65" s="15"/>
      <c r="AB65" s="200"/>
      <c r="AC65" s="770"/>
      <c r="AD65" s="70">
        <f>AC56*M65</f>
        <v>58590</v>
      </c>
      <c r="AE65" s="15"/>
      <c r="AF65" s="15"/>
      <c r="AG65" s="200"/>
      <c r="AH65" s="890"/>
      <c r="AI65" s="15"/>
      <c r="AJ65" s="27"/>
      <c r="AK65" s="15"/>
      <c r="AL65" s="200"/>
      <c r="AM65" s="15"/>
      <c r="AN65" s="536"/>
      <c r="AO65" s="15">
        <v>39060</v>
      </c>
      <c r="AP65" s="15"/>
      <c r="AQ65" s="27" t="s">
        <v>168</v>
      </c>
      <c r="AR65" s="15"/>
      <c r="AS65" s="501">
        <f>AO65-T65</f>
        <v>-3906</v>
      </c>
      <c r="AT65" s="15"/>
      <c r="AU65" s="584"/>
      <c r="AV65" s="71"/>
      <c r="AW65" s="70"/>
      <c r="AX65" s="15">
        <v>56700</v>
      </c>
      <c r="AY65" s="15"/>
      <c r="AZ65" s="200"/>
      <c r="BA65" s="27"/>
      <c r="BB65" s="71"/>
      <c r="BC65" s="71"/>
      <c r="BD65" s="70"/>
      <c r="BE65" s="15">
        <v>45304</v>
      </c>
      <c r="BF65" s="15"/>
      <c r="BG65" s="200"/>
      <c r="BH65" s="27"/>
      <c r="BJ65" s="90"/>
      <c r="BK65" s="126"/>
      <c r="BL65" s="71"/>
      <c r="BN65" s="26"/>
      <c r="BO65" s="126"/>
      <c r="BP65" s="71"/>
      <c r="BR65" s="26">
        <v>54</v>
      </c>
      <c r="BS65" s="70">
        <v>1050</v>
      </c>
      <c r="BT65" s="15">
        <f t="shared" si="11"/>
        <v>56700</v>
      </c>
    </row>
    <row r="66" spans="1:74" ht="15.6">
      <c r="A66" s="808"/>
      <c r="B66" s="848" t="s">
        <v>430</v>
      </c>
      <c r="D66" s="24"/>
      <c r="E66" s="1" t="s">
        <v>434</v>
      </c>
      <c r="F66" s="24"/>
      <c r="G66" s="24"/>
      <c r="H66" s="1179">
        <v>42</v>
      </c>
      <c r="I66" s="1179">
        <v>38</v>
      </c>
      <c r="J66" s="753"/>
      <c r="K66" s="26">
        <v>30</v>
      </c>
      <c r="L66" s="1118">
        <v>930</v>
      </c>
      <c r="M66" s="584">
        <f t="shared" si="12"/>
        <v>27900</v>
      </c>
      <c r="N66" s="584"/>
      <c r="O66" s="1126"/>
      <c r="P66" s="1126">
        <v>35587</v>
      </c>
      <c r="Q66" s="584"/>
      <c r="R66" s="200"/>
      <c r="S66" s="498"/>
      <c r="T66" s="70">
        <f>S56*M66</f>
        <v>30690.000000000004</v>
      </c>
      <c r="U66" s="15"/>
      <c r="V66" s="15"/>
      <c r="W66" s="200"/>
      <c r="X66" s="770"/>
      <c r="Y66" s="70">
        <f>X56*M66</f>
        <v>36270</v>
      </c>
      <c r="Z66" s="15"/>
      <c r="AA66" s="15"/>
      <c r="AB66" s="200"/>
      <c r="AC66" s="770"/>
      <c r="AD66" s="70">
        <f>AC56*M66</f>
        <v>41850</v>
      </c>
      <c r="AE66" s="15"/>
      <c r="AF66" s="15"/>
      <c r="AG66" s="200"/>
      <c r="AH66" s="890"/>
      <c r="AI66" s="15"/>
      <c r="AJ66" s="27"/>
      <c r="AK66" s="15"/>
      <c r="AL66" s="200"/>
      <c r="AM66" s="15"/>
      <c r="AN66" s="536"/>
      <c r="AO66" s="15">
        <v>27900</v>
      </c>
      <c r="AP66" s="15"/>
      <c r="AQ66" s="27" t="s">
        <v>166</v>
      </c>
      <c r="AR66" s="15"/>
      <c r="AS66" s="501">
        <f>AO66-T66</f>
        <v>-2790.0000000000036</v>
      </c>
      <c r="AT66" s="15"/>
      <c r="AU66" s="584"/>
      <c r="AV66" s="71"/>
      <c r="AW66" s="70"/>
      <c r="AX66" s="15">
        <v>31500</v>
      </c>
      <c r="AY66" s="15"/>
      <c r="AZ66" s="200"/>
      <c r="BA66" s="27"/>
      <c r="BB66" s="71"/>
      <c r="BC66" s="71"/>
      <c r="BD66" s="70"/>
      <c r="BE66" s="15">
        <v>18066</v>
      </c>
      <c r="BF66" s="15"/>
      <c r="BG66" s="200"/>
      <c r="BH66" s="27"/>
      <c r="BJ66" s="140" t="s">
        <v>403</v>
      </c>
      <c r="BK66" s="140"/>
      <c r="BL66" s="71"/>
      <c r="BN66" s="26"/>
      <c r="BO66" s="126"/>
      <c r="BP66" s="71"/>
      <c r="BR66" s="26">
        <v>30</v>
      </c>
      <c r="BS66" s="70">
        <v>1050</v>
      </c>
      <c r="BT66" s="15">
        <f t="shared" si="11"/>
        <v>31500</v>
      </c>
    </row>
    <row r="67" spans="1:74" ht="15.6">
      <c r="A67" s="808"/>
      <c r="B67" s="859"/>
      <c r="D67" s="24"/>
      <c r="E67" s="1" t="s">
        <v>433</v>
      </c>
      <c r="F67" s="24"/>
      <c r="G67" s="24"/>
      <c r="H67" s="1179"/>
      <c r="I67" s="1179"/>
      <c r="J67" s="753"/>
      <c r="K67" s="26">
        <v>8</v>
      </c>
      <c r="L67" s="1118">
        <v>930</v>
      </c>
      <c r="M67" s="584">
        <f t="shared" si="12"/>
        <v>7440</v>
      </c>
      <c r="N67" s="584"/>
      <c r="O67" s="1135"/>
      <c r="P67" s="1135" t="s">
        <v>573</v>
      </c>
      <c r="Q67" s="584"/>
      <c r="R67" s="200"/>
      <c r="S67" s="498"/>
      <c r="T67" s="70">
        <f>S56*M67</f>
        <v>8184.0000000000009</v>
      </c>
      <c r="U67" s="15"/>
      <c r="V67" s="15"/>
      <c r="W67" s="200"/>
      <c r="X67" s="770"/>
      <c r="Y67" s="70">
        <f>X56*M67</f>
        <v>9672</v>
      </c>
      <c r="Z67" s="15"/>
      <c r="AA67" s="15"/>
      <c r="AB67" s="200"/>
      <c r="AC67" s="770"/>
      <c r="AD67" s="70">
        <f>AC56*M67</f>
        <v>11160</v>
      </c>
      <c r="AE67" s="15"/>
      <c r="AF67" s="15"/>
      <c r="AG67" s="200"/>
      <c r="AH67" s="890"/>
      <c r="AI67" s="15"/>
      <c r="AJ67" s="27"/>
      <c r="AK67" s="15"/>
      <c r="AL67" s="200"/>
      <c r="AM67" s="15"/>
      <c r="AN67" s="536"/>
      <c r="AO67" s="15">
        <v>7440</v>
      </c>
      <c r="AP67" s="15"/>
      <c r="AQ67" s="27" t="s">
        <v>166</v>
      </c>
      <c r="AR67" s="15"/>
      <c r="AS67" s="501">
        <f>AO67-T67</f>
        <v>-744.00000000000091</v>
      </c>
      <c r="AT67" s="15"/>
      <c r="AU67" s="584"/>
      <c r="AV67" s="71"/>
      <c r="AW67" s="70"/>
      <c r="AX67" s="15">
        <v>8400</v>
      </c>
      <c r="AY67" s="15"/>
      <c r="AZ67" s="200"/>
      <c r="BA67" s="27"/>
      <c r="BB67" s="71"/>
      <c r="BC67" s="71"/>
      <c r="BD67" s="70"/>
      <c r="BE67" s="15">
        <v>22652</v>
      </c>
      <c r="BF67" s="15"/>
      <c r="BG67" s="200"/>
      <c r="BH67" s="27"/>
      <c r="BJ67" s="90"/>
      <c r="BK67" s="126"/>
      <c r="BL67" s="71"/>
      <c r="BN67" s="26"/>
      <c r="BO67" s="126"/>
      <c r="BP67" s="71"/>
      <c r="BR67" s="26">
        <v>8</v>
      </c>
      <c r="BS67" s="70">
        <v>1050</v>
      </c>
      <c r="BT67" s="15">
        <f t="shared" si="11"/>
        <v>8400</v>
      </c>
    </row>
    <row r="68" spans="1:74" ht="15.6">
      <c r="B68" s="848"/>
      <c r="D68" s="24"/>
      <c r="E68" s="1"/>
      <c r="F68" s="24"/>
      <c r="G68" s="24"/>
      <c r="H68" s="24"/>
      <c r="I68" s="24"/>
      <c r="J68" s="753"/>
      <c r="K68" s="26"/>
      <c r="L68" s="14"/>
      <c r="M68" s="15"/>
      <c r="N68" s="584"/>
      <c r="O68" s="1126"/>
      <c r="P68" s="1126"/>
      <c r="Q68" s="584"/>
      <c r="R68" s="200"/>
      <c r="S68" s="498"/>
      <c r="T68" s="15"/>
      <c r="U68" s="15"/>
      <c r="V68" s="15"/>
      <c r="W68" s="200"/>
      <c r="X68" s="770"/>
      <c r="Y68" s="15"/>
      <c r="Z68" s="15"/>
      <c r="AA68" s="15"/>
      <c r="AB68" s="200"/>
      <c r="AC68" s="770"/>
      <c r="AD68" s="15"/>
      <c r="AE68" s="15"/>
      <c r="AF68" s="15"/>
      <c r="AG68" s="200"/>
      <c r="AH68" s="890"/>
      <c r="AI68" s="15"/>
      <c r="AJ68" s="27"/>
      <c r="AK68" s="15"/>
      <c r="AL68" s="200"/>
      <c r="AM68" s="15"/>
      <c r="AN68" s="536"/>
      <c r="AO68" s="15"/>
      <c r="AP68" s="15"/>
      <c r="AQ68" s="27"/>
      <c r="AR68" s="15"/>
      <c r="AS68" s="498"/>
      <c r="AT68" s="15"/>
      <c r="AU68" s="584"/>
      <c r="AV68" s="71"/>
      <c r="AW68" s="70"/>
      <c r="AX68" s="15">
        <v>10500</v>
      </c>
      <c r="AY68" s="15"/>
      <c r="AZ68" s="200"/>
      <c r="BA68" s="27"/>
      <c r="BB68" s="71"/>
      <c r="BC68" s="71"/>
      <c r="BD68" s="70"/>
      <c r="BE68" s="15"/>
      <c r="BF68" s="15"/>
      <c r="BG68" s="200"/>
      <c r="BH68" s="27"/>
      <c r="BJ68" s="26"/>
      <c r="BK68" s="14"/>
      <c r="BL68" s="71"/>
      <c r="BN68" s="26"/>
      <c r="BO68" s="14"/>
      <c r="BP68" s="71"/>
      <c r="BR68" s="15"/>
      <c r="BS68" s="15"/>
      <c r="BT68" s="15"/>
    </row>
    <row r="69" spans="1:74" ht="15.6">
      <c r="A69" s="807"/>
      <c r="D69" s="89" t="s">
        <v>432</v>
      </c>
      <c r="E69" s="74"/>
      <c r="F69" s="89"/>
      <c r="G69" s="89"/>
      <c r="H69" s="89"/>
      <c r="I69" s="89"/>
      <c r="J69" s="26"/>
      <c r="K69" s="92"/>
      <c r="L69" s="107"/>
      <c r="M69" s="108"/>
      <c r="N69" s="127"/>
      <c r="O69" s="1134"/>
      <c r="P69" s="1134">
        <v>0</v>
      </c>
      <c r="Q69" s="127"/>
      <c r="R69" s="201"/>
      <c r="S69" s="773"/>
      <c r="T69" s="108"/>
      <c r="U69" s="108"/>
      <c r="V69" s="101"/>
      <c r="W69" s="201"/>
      <c r="X69" s="771"/>
      <c r="Y69" s="108"/>
      <c r="Z69" s="108"/>
      <c r="AA69" s="101"/>
      <c r="AB69" s="201"/>
      <c r="AC69" s="771"/>
      <c r="AD69" s="108"/>
      <c r="AE69" s="108"/>
      <c r="AF69" s="101"/>
      <c r="AG69" s="201"/>
      <c r="AH69" s="891"/>
      <c r="AI69" s="101"/>
      <c r="AJ69" s="176"/>
      <c r="AK69" s="101"/>
      <c r="AL69" s="201"/>
      <c r="AM69" s="101"/>
      <c r="AN69" s="537"/>
      <c r="AO69" s="108"/>
      <c r="AP69" s="101"/>
      <c r="AQ69" s="176"/>
      <c r="AR69" s="101"/>
      <c r="AS69" s="499"/>
      <c r="AT69" s="101"/>
      <c r="AU69" s="127"/>
      <c r="AV69" s="127"/>
      <c r="AW69" s="101"/>
      <c r="AX69" s="108"/>
      <c r="AY69" s="101"/>
      <c r="AZ69" s="201"/>
      <c r="BA69" s="176"/>
      <c r="BB69" s="127"/>
      <c r="BC69" s="127"/>
      <c r="BD69" s="101"/>
      <c r="BE69" s="108"/>
      <c r="BF69" s="101"/>
      <c r="BG69" s="201"/>
      <c r="BH69" s="176"/>
      <c r="BJ69" s="26"/>
      <c r="BK69" s="14"/>
      <c r="BL69" s="127"/>
      <c r="BN69" s="26"/>
      <c r="BO69" s="14"/>
      <c r="BP69" s="127"/>
      <c r="BR69" s="67"/>
      <c r="BS69" s="67"/>
      <c r="BT69" s="67"/>
    </row>
    <row r="70" spans="1:74" ht="15.6">
      <c r="A70" s="807"/>
      <c r="B70" s="848" t="s">
        <v>425</v>
      </c>
      <c r="D70" s="11"/>
      <c r="E70" s="1" t="s">
        <v>280</v>
      </c>
      <c r="F70" s="11"/>
      <c r="G70" s="11"/>
      <c r="H70" s="11"/>
      <c r="I70" s="11"/>
      <c r="J70" s="753"/>
      <c r="K70" s="914">
        <f>K12</f>
        <v>16</v>
      </c>
      <c r="L70" s="14"/>
      <c r="M70" s="70"/>
      <c r="N70" s="71"/>
      <c r="O70" s="1127"/>
      <c r="P70" s="1127"/>
      <c r="Q70" s="71"/>
      <c r="R70" s="200"/>
      <c r="S70" s="500"/>
      <c r="T70" s="70"/>
      <c r="U70" s="70"/>
      <c r="V70" s="70"/>
      <c r="W70" s="200"/>
      <c r="X70" s="768"/>
      <c r="Y70" s="70"/>
      <c r="Z70" s="70"/>
      <c r="AA70" s="70"/>
      <c r="AB70" s="200"/>
      <c r="AC70" s="768"/>
      <c r="AD70" s="70"/>
      <c r="AE70" s="70"/>
      <c r="AF70" s="70"/>
      <c r="AG70" s="200"/>
      <c r="AH70" s="892"/>
      <c r="AI70" s="70"/>
      <c r="AJ70" s="29"/>
      <c r="AK70" s="70"/>
      <c r="AL70" s="200"/>
      <c r="AM70" s="70"/>
      <c r="AN70" s="536"/>
      <c r="AO70" s="70">
        <v>0</v>
      </c>
      <c r="AP70" s="70"/>
      <c r="AQ70" s="29"/>
      <c r="AR70" s="70"/>
      <c r="AS70" s="500"/>
      <c r="AT70" s="70"/>
      <c r="AU70" s="71"/>
      <c r="AV70" s="71"/>
      <c r="AW70" s="70"/>
      <c r="AX70" s="70"/>
      <c r="AY70" s="70"/>
      <c r="AZ70" s="200"/>
      <c r="BA70" s="29"/>
      <c r="BB70" s="71"/>
      <c r="BC70" s="71"/>
      <c r="BD70" s="70"/>
      <c r="BE70" s="70"/>
      <c r="BF70" s="70"/>
      <c r="BG70" s="200"/>
      <c r="BH70" s="29"/>
      <c r="BJ70" s="134"/>
      <c r="BK70" s="30"/>
      <c r="BL70" s="127"/>
      <c r="BN70" s="134"/>
      <c r="BO70" s="30"/>
      <c r="BP70" s="127"/>
    </row>
    <row r="71" spans="1:74" ht="13.8">
      <c r="D71" s="11"/>
      <c r="E71" s="152" t="s">
        <v>38</v>
      </c>
      <c r="F71" s="11"/>
      <c r="G71" s="11"/>
      <c r="H71" s="11"/>
      <c r="I71" s="11"/>
      <c r="J71" s="753"/>
      <c r="K71" s="106"/>
      <c r="L71" s="14"/>
      <c r="M71" s="70"/>
      <c r="N71" s="71"/>
      <c r="O71" s="1127"/>
      <c r="P71" s="1127"/>
      <c r="Q71" s="71"/>
      <c r="R71" s="200"/>
      <c r="S71" s="500"/>
      <c r="T71" s="70"/>
      <c r="U71" s="70"/>
      <c r="V71" s="70"/>
      <c r="W71" s="200"/>
      <c r="X71" s="768"/>
      <c r="Y71" s="70"/>
      <c r="Z71" s="70"/>
      <c r="AA71" s="70"/>
      <c r="AB71" s="200"/>
      <c r="AC71" s="768"/>
      <c r="AD71" s="70"/>
      <c r="AE71" s="70"/>
      <c r="AF71" s="70"/>
      <c r="AG71" s="200"/>
      <c r="AH71" s="892"/>
      <c r="AI71" s="70"/>
      <c r="AJ71" s="29"/>
      <c r="AK71" s="70"/>
      <c r="AL71" s="200"/>
      <c r="AM71" s="70"/>
      <c r="AN71" s="536"/>
      <c r="AO71" s="70"/>
      <c r="AP71" s="70"/>
      <c r="AQ71" s="29"/>
      <c r="AR71" s="70"/>
      <c r="AS71" s="500"/>
      <c r="AT71" s="70"/>
      <c r="AU71" s="71"/>
      <c r="AV71" s="71"/>
      <c r="AW71" s="70"/>
      <c r="AX71" s="70"/>
      <c r="AY71" s="70"/>
      <c r="AZ71" s="200"/>
      <c r="BA71" s="29"/>
      <c r="BB71" s="71"/>
      <c r="BC71" s="71"/>
      <c r="BD71" s="70"/>
      <c r="BE71" s="70"/>
      <c r="BF71" s="70"/>
      <c r="BG71" s="200"/>
      <c r="BH71" s="29"/>
      <c r="BJ71" s="134"/>
      <c r="BK71" s="30"/>
      <c r="BL71" s="127"/>
      <c r="BN71" s="134"/>
      <c r="BO71" s="30"/>
      <c r="BP71" s="127"/>
    </row>
    <row r="72" spans="1:74" ht="18" thickBot="1">
      <c r="D72" s="1159"/>
      <c r="E72" s="1164"/>
      <c r="F72" s="1159"/>
      <c r="G72" s="1159"/>
      <c r="H72" s="11"/>
      <c r="I72" s="11"/>
      <c r="J72" s="90"/>
      <c r="K72" s="1165"/>
      <c r="L72" s="1166"/>
      <c r="M72" s="1167"/>
      <c r="N72" s="1093"/>
      <c r="O72" s="1168"/>
      <c r="P72" s="1168"/>
      <c r="Q72" s="1093"/>
      <c r="R72" s="200"/>
      <c r="S72" s="774">
        <f>(T57+T63)/K56</f>
        <v>1023.0000000000002</v>
      </c>
      <c r="T72" s="775" t="s">
        <v>273</v>
      </c>
      <c r="U72" s="776"/>
      <c r="V72" s="70"/>
      <c r="W72" s="200"/>
      <c r="X72" s="774">
        <f>(Y57+Y63)/K56</f>
        <v>1209</v>
      </c>
      <c r="Y72" s="775" t="s">
        <v>271</v>
      </c>
      <c r="Z72" s="776"/>
      <c r="AA72" s="70"/>
      <c r="AB72" s="200"/>
      <c r="AC72" s="774">
        <f>(AD57+AD63)/K56</f>
        <v>1395</v>
      </c>
      <c r="AD72" s="775" t="s">
        <v>272</v>
      </c>
      <c r="AE72" s="776"/>
      <c r="AF72" s="71"/>
      <c r="AG72" s="211"/>
      <c r="AH72" s="900"/>
      <c r="AI72" s="71"/>
      <c r="AJ72" s="124"/>
      <c r="AK72" s="70"/>
      <c r="AL72" s="200"/>
      <c r="AM72" s="70"/>
      <c r="AN72" s="536"/>
      <c r="AO72" s="70"/>
      <c r="AP72" s="70"/>
      <c r="AQ72" s="29"/>
      <c r="AR72" s="70"/>
      <c r="AS72" s="500"/>
      <c r="AT72" s="70"/>
      <c r="AU72" s="71"/>
      <c r="AV72" s="71"/>
      <c r="AW72" s="70"/>
      <c r="AX72" s="70"/>
      <c r="AY72" s="70"/>
      <c r="AZ72" s="200"/>
      <c r="BA72" s="29"/>
      <c r="BB72" s="71"/>
      <c r="BC72" s="71"/>
      <c r="BD72" s="70"/>
      <c r="BE72" s="70"/>
      <c r="BF72" s="70"/>
      <c r="BG72" s="200"/>
      <c r="BH72" s="29"/>
      <c r="BJ72" s="14"/>
      <c r="BK72" s="14"/>
      <c r="BL72" s="71"/>
      <c r="BM72" s="66"/>
      <c r="BN72" s="14"/>
      <c r="BO72" s="14"/>
      <c r="BP72" s="71"/>
    </row>
    <row r="73" spans="1:74" ht="18" customHeight="1">
      <c r="D73" s="64" t="s">
        <v>565</v>
      </c>
      <c r="E73" s="1"/>
      <c r="F73" s="11"/>
      <c r="G73" s="11"/>
      <c r="H73" s="11"/>
      <c r="I73" s="11"/>
      <c r="J73" s="26"/>
      <c r="K73" s="26"/>
      <c r="L73" s="14"/>
      <c r="M73" s="65">
        <f>M56+M14+M6</f>
        <v>902040</v>
      </c>
      <c r="N73" s="1097"/>
      <c r="O73" s="1146"/>
      <c r="P73" s="1146">
        <f>P56+P14+P6</f>
        <v>902373</v>
      </c>
      <c r="Q73" s="1089"/>
      <c r="R73" s="218"/>
      <c r="S73" s="564"/>
      <c r="T73" s="65" t="e">
        <f>#REF!+#REF!+#REF!+#REF!+#REF!+T15+T31+T55</f>
        <v>#REF!</v>
      </c>
      <c r="U73" s="65" t="s">
        <v>274</v>
      </c>
      <c r="V73" s="65"/>
      <c r="W73" s="218"/>
      <c r="X73" s="564"/>
      <c r="Y73" s="65" t="e">
        <f>#REF!+#REF!+#REF!+#REF!+#REF!+Y15+Y31+Y55</f>
        <v>#REF!</v>
      </c>
      <c r="Z73" s="65" t="s">
        <v>112</v>
      </c>
      <c r="AA73" s="65"/>
      <c r="AB73" s="218"/>
      <c r="AC73" s="564"/>
      <c r="AD73" s="65" t="e">
        <f>#REF!+#REF!+#REF!+#REF!+#REF!+AD15+AD31+AD55</f>
        <v>#REF!</v>
      </c>
      <c r="AE73" s="65" t="s">
        <v>53</v>
      </c>
      <c r="AF73" s="65"/>
      <c r="AG73" s="218"/>
      <c r="AH73" s="889" t="e">
        <f>#REF!+#REF!+#REF!+#REF!+#REF!+AH15+AH31+AH55</f>
        <v>#REF!</v>
      </c>
      <c r="AI73" s="65"/>
      <c r="AJ73" s="189" t="e">
        <f>#REF!+#REF!+#REF!+#REF!+#REF!+AJ15+AJ31+AJ55</f>
        <v>#REF!</v>
      </c>
      <c r="AK73" s="65"/>
      <c r="AL73" s="218"/>
      <c r="AM73" s="65"/>
      <c r="AN73" s="551"/>
      <c r="AO73" s="65" t="e">
        <f>#REF!+#REF!+#REF!+#REF!+#REF!+AO15+AO31</f>
        <v>#REF!</v>
      </c>
      <c r="AP73" s="65"/>
      <c r="AQ73" s="65"/>
      <c r="AR73" s="65"/>
      <c r="AS73" s="497" t="e">
        <f>AO73-T73</f>
        <v>#REF!</v>
      </c>
      <c r="AT73" s="65"/>
      <c r="AU73" s="65"/>
      <c r="AV73" s="65"/>
      <c r="AW73" s="65"/>
      <c r="AX73" s="65" t="e">
        <f>#REF!+#REF!+#REF!+#REF!+#REF!+AX15+AX31+AX55</f>
        <v>#REF!</v>
      </c>
      <c r="AY73" s="65"/>
      <c r="AZ73" s="218"/>
      <c r="BA73" s="189" t="e">
        <f>M73-AX73</f>
        <v>#REF!</v>
      </c>
      <c r="BB73" s="65"/>
      <c r="BC73" s="65"/>
      <c r="BD73" s="65"/>
      <c r="BE73" s="65" t="e">
        <f>#REF!+#REF!+#REF!+#REF!+#REF!+BE15+BE31+BE55</f>
        <v>#REF!</v>
      </c>
      <c r="BF73" s="65"/>
      <c r="BG73" s="218"/>
      <c r="BH73" s="189" t="e">
        <f>M73-BE73</f>
        <v>#REF!</v>
      </c>
      <c r="BJ73" s="146"/>
      <c r="BK73" s="11"/>
      <c r="BL73" s="65"/>
      <c r="BN73" s="11"/>
      <c r="BO73" s="11"/>
      <c r="BP73" s="65"/>
      <c r="BR73" s="11"/>
      <c r="BS73" s="11"/>
      <c r="BT73" s="65" t="e">
        <f>#REF!+#REF!+#REF!+#REF!+#REF!+BT15+BT31</f>
        <v>#REF!</v>
      </c>
      <c r="BV73" s="85" t="s">
        <v>0</v>
      </c>
    </row>
    <row r="74" spans="1:74" ht="17.399999999999999">
      <c r="D74" s="11"/>
      <c r="E74" s="36"/>
      <c r="F74" s="11"/>
      <c r="G74" s="11"/>
      <c r="H74" s="11"/>
      <c r="I74" s="11"/>
      <c r="J74" s="90"/>
      <c r="K74" s="26"/>
      <c r="L74" s="14"/>
      <c r="M74" s="70"/>
      <c r="N74" s="1093"/>
      <c r="O74" s="1136"/>
      <c r="P74" s="1136"/>
      <c r="Q74" s="1093"/>
      <c r="R74" s="200"/>
      <c r="S74" s="774">
        <f>(T59+T65)/K58</f>
        <v>91.807692307692307</v>
      </c>
      <c r="T74" s="775" t="s">
        <v>273</v>
      </c>
      <c r="U74" s="776"/>
      <c r="V74" s="70"/>
      <c r="W74" s="200"/>
      <c r="X74" s="774">
        <f>(Y59+Y65)/K58</f>
        <v>108.5</v>
      </c>
      <c r="Y74" s="775" t="s">
        <v>271</v>
      </c>
      <c r="Z74" s="776"/>
      <c r="AA74" s="70"/>
      <c r="AB74" s="200"/>
      <c r="AC74" s="774">
        <f>(AD59+AD65)/K58</f>
        <v>125.19230769230769</v>
      </c>
      <c r="AD74" s="775" t="s">
        <v>272</v>
      </c>
      <c r="AE74" s="776"/>
      <c r="AF74" s="71"/>
      <c r="AG74" s="211"/>
      <c r="AH74" s="900"/>
      <c r="AI74" s="71"/>
      <c r="AJ74" s="124"/>
      <c r="AK74" s="70"/>
      <c r="AL74" s="200"/>
      <c r="AM74" s="70"/>
      <c r="AN74" s="536"/>
      <c r="AO74" s="70"/>
      <c r="AP74" s="70"/>
      <c r="AQ74" s="29"/>
      <c r="AR74" s="70"/>
      <c r="AS74" s="500"/>
      <c r="AT74" s="70"/>
      <c r="AU74" s="71"/>
      <c r="AV74" s="71"/>
      <c r="AW74" s="70"/>
      <c r="AX74" s="70"/>
      <c r="AY74" s="70"/>
      <c r="AZ74" s="200"/>
      <c r="BA74" s="29"/>
      <c r="BB74" s="71"/>
      <c r="BC74" s="71"/>
      <c r="BD74" s="70"/>
      <c r="BE74" s="70"/>
      <c r="BF74" s="70"/>
      <c r="BG74" s="200"/>
      <c r="BH74" s="29"/>
      <c r="BJ74" s="14"/>
      <c r="BK74" s="14"/>
      <c r="BL74" s="71"/>
      <c r="BM74" s="66"/>
      <c r="BN74" s="14"/>
      <c r="BO74" s="14"/>
      <c r="BP74" s="71"/>
    </row>
    <row r="75" spans="1:74" ht="15.75" customHeight="1">
      <c r="D75" s="24"/>
      <c r="E75" s="36"/>
      <c r="F75" s="24"/>
      <c r="G75" s="24"/>
      <c r="H75" s="24"/>
      <c r="I75" s="24"/>
      <c r="J75" s="90"/>
      <c r="K75" s="1181" t="s">
        <v>557</v>
      </c>
      <c r="L75" s="1181"/>
      <c r="M75" s="1181"/>
      <c r="N75" s="1084"/>
      <c r="O75" s="1184" t="s">
        <v>558</v>
      </c>
      <c r="P75" s="1184"/>
      <c r="Q75" s="1084"/>
      <c r="R75" s="161"/>
      <c r="S75" s="556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94"/>
      <c r="AH75" s="901"/>
      <c r="AI75" s="161"/>
      <c r="AJ75" s="161"/>
      <c r="AK75" s="161"/>
      <c r="AL75" s="161"/>
      <c r="AM75" s="161"/>
      <c r="AN75" s="530"/>
      <c r="AO75" s="161"/>
      <c r="AP75" s="161"/>
      <c r="AQ75" s="161"/>
      <c r="AR75" s="161"/>
      <c r="AS75" s="506"/>
      <c r="AT75" s="161"/>
      <c r="AU75" s="581"/>
      <c r="AV75" s="581"/>
      <c r="AW75" s="161"/>
      <c r="AX75" s="161" t="s">
        <v>42</v>
      </c>
      <c r="AY75" s="161"/>
      <c r="AZ75" s="194"/>
      <c r="BA75" s="161" t="s">
        <v>41</v>
      </c>
      <c r="BB75" s="581"/>
      <c r="BC75" s="581"/>
      <c r="BD75" s="161"/>
      <c r="BE75" s="161" t="s">
        <v>42</v>
      </c>
      <c r="BF75" s="161"/>
      <c r="BG75" s="194"/>
      <c r="BH75" s="161" t="s">
        <v>41</v>
      </c>
      <c r="BJ75" s="1192"/>
      <c r="BK75" s="1192"/>
      <c r="BL75" s="1192"/>
      <c r="BN75" s="1175"/>
      <c r="BO75" s="1175"/>
      <c r="BP75" s="1175"/>
      <c r="BR75" s="1180" t="s">
        <v>2</v>
      </c>
      <c r="BS75" s="1180"/>
      <c r="BT75" s="1180"/>
    </row>
    <row r="76" spans="1:74" ht="15.75" customHeight="1">
      <c r="D76" s="24"/>
      <c r="E76" s="36"/>
      <c r="F76" s="24"/>
      <c r="G76" s="24"/>
      <c r="H76" s="24"/>
      <c r="I76" s="24"/>
      <c r="J76" s="90"/>
      <c r="K76" s="1182"/>
      <c r="L76" s="1182"/>
      <c r="M76" s="1182"/>
      <c r="N76" s="1085"/>
      <c r="O76" s="1183" t="s">
        <v>561</v>
      </c>
      <c r="P76" s="1183"/>
      <c r="Q76" s="1085"/>
      <c r="R76" s="158"/>
      <c r="S76" s="557"/>
      <c r="T76" s="158"/>
      <c r="U76" s="158"/>
      <c r="V76" s="158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  <c r="AG76" s="195"/>
      <c r="AH76" s="902"/>
      <c r="AI76" s="158"/>
      <c r="AJ76" s="158"/>
      <c r="AK76" s="158"/>
      <c r="AL76" s="158"/>
      <c r="AM76" s="158"/>
      <c r="AN76" s="531"/>
      <c r="AO76" s="158"/>
      <c r="AP76" s="158"/>
      <c r="AQ76" s="158"/>
      <c r="AR76" s="158"/>
      <c r="AS76" s="507"/>
      <c r="AT76" s="158"/>
      <c r="AU76" s="582"/>
      <c r="AV76" s="582"/>
      <c r="AW76" s="158"/>
      <c r="AX76" s="158"/>
      <c r="AY76" s="158"/>
      <c r="AZ76" s="195"/>
      <c r="BA76" s="158"/>
      <c r="BB76" s="582"/>
      <c r="BC76" s="582"/>
      <c r="BD76" s="158"/>
      <c r="BE76" s="158"/>
      <c r="BF76" s="158"/>
      <c r="BG76" s="195"/>
      <c r="BH76" s="158"/>
      <c r="BJ76" s="1176"/>
      <c r="BK76" s="1176"/>
      <c r="BL76" s="1176"/>
      <c r="BN76" s="1176"/>
      <c r="BO76" s="1176"/>
      <c r="BP76" s="1176"/>
      <c r="BR76" s="1180" t="s">
        <v>0</v>
      </c>
      <c r="BS76" s="1180"/>
      <c r="BT76" s="1180"/>
    </row>
    <row r="77" spans="1:74" ht="44.25" customHeight="1">
      <c r="D77" s="24"/>
      <c r="E77" s="1"/>
      <c r="F77" s="24"/>
      <c r="G77" s="24"/>
      <c r="H77" s="757" t="s">
        <v>0</v>
      </c>
      <c r="I77" s="24"/>
      <c r="J77" s="26"/>
      <c r="K77" s="83" t="s">
        <v>5</v>
      </c>
      <c r="L77" s="83" t="s">
        <v>560</v>
      </c>
      <c r="M77" s="84" t="s">
        <v>7</v>
      </c>
      <c r="N77" s="1086"/>
      <c r="O77" s="1122" t="s">
        <v>560</v>
      </c>
      <c r="P77" s="1122" t="s">
        <v>146</v>
      </c>
      <c r="Q77" s="1086"/>
      <c r="R77" s="196"/>
      <c r="S77" s="1190" t="s">
        <v>267</v>
      </c>
      <c r="T77" s="1191"/>
      <c r="U77" s="1191"/>
      <c r="V77" s="762"/>
      <c r="W77" s="763"/>
      <c r="X77" s="1190" t="s">
        <v>268</v>
      </c>
      <c r="Y77" s="1191"/>
      <c r="Z77" s="1191"/>
      <c r="AA77" s="762"/>
      <c r="AB77" s="763"/>
      <c r="AC77" s="1190" t="s">
        <v>270</v>
      </c>
      <c r="AD77" s="1191"/>
      <c r="AE77" s="1191"/>
      <c r="AF77" s="762"/>
      <c r="AG77" s="763"/>
      <c r="AH77" s="903" t="s">
        <v>445</v>
      </c>
      <c r="AI77" s="762"/>
      <c r="AJ77" s="83" t="s">
        <v>446</v>
      </c>
      <c r="AK77" s="84"/>
      <c r="AL77" s="196"/>
      <c r="AM77" s="84"/>
      <c r="AN77" s="532"/>
      <c r="AO77" s="84" t="s">
        <v>7</v>
      </c>
      <c r="AP77" s="84"/>
      <c r="AQ77" s="183"/>
      <c r="AR77" s="84"/>
      <c r="AS77" s="508"/>
      <c r="AT77" s="84"/>
      <c r="AU77" s="123"/>
      <c r="AV77" s="123"/>
      <c r="AW77" s="84"/>
      <c r="AX77" s="83" t="s">
        <v>43</v>
      </c>
      <c r="AY77" s="84"/>
      <c r="AZ77" s="196"/>
      <c r="BA77" s="183"/>
      <c r="BB77" s="123"/>
      <c r="BC77" s="123"/>
      <c r="BD77" s="84"/>
      <c r="BE77" s="83" t="s">
        <v>43</v>
      </c>
      <c r="BF77" s="84"/>
      <c r="BG77" s="196"/>
      <c r="BH77" s="183"/>
      <c r="BI77" s="119"/>
      <c r="BJ77" s="146"/>
      <c r="BK77" s="8"/>
      <c r="BL77" s="123"/>
      <c r="BN77" s="122"/>
      <c r="BO77" s="122"/>
      <c r="BP77" s="123"/>
      <c r="BR77" s="83" t="s">
        <v>5</v>
      </c>
      <c r="BS77" s="83" t="s">
        <v>6</v>
      </c>
      <c r="BT77" s="84" t="s">
        <v>7</v>
      </c>
    </row>
    <row r="78" spans="1:74" ht="15">
      <c r="D78" s="24"/>
      <c r="E78" s="1"/>
      <c r="F78" s="24"/>
      <c r="G78" s="24"/>
      <c r="H78" s="24"/>
      <c r="I78" s="24"/>
      <c r="J78" s="26"/>
      <c r="K78" s="83"/>
      <c r="L78" s="83"/>
      <c r="M78" s="916"/>
      <c r="N78" s="1094"/>
      <c r="O78" s="1137"/>
      <c r="P78" s="1137"/>
      <c r="Q78" s="1086"/>
      <c r="R78" s="196"/>
      <c r="S78" s="915"/>
      <c r="T78" s="916"/>
      <c r="U78" s="902"/>
      <c r="V78" s="762"/>
      <c r="W78" s="763"/>
      <c r="X78" s="915"/>
      <c r="Y78" s="916"/>
      <c r="Z78" s="902"/>
      <c r="AA78" s="762"/>
      <c r="AB78" s="763"/>
      <c r="AC78" s="915"/>
      <c r="AD78" s="916"/>
      <c r="AE78" s="902"/>
      <c r="AF78" s="762"/>
      <c r="AG78" s="763"/>
      <c r="AH78" s="918"/>
      <c r="AI78" s="762"/>
      <c r="AJ78" s="917"/>
      <c r="AK78" s="84"/>
      <c r="AL78" s="196"/>
      <c r="AM78" s="84"/>
      <c r="AN78" s="532"/>
      <c r="AO78" s="84"/>
      <c r="AP78" s="84"/>
      <c r="AQ78" s="183"/>
      <c r="AR78" s="84"/>
      <c r="AS78" s="508"/>
      <c r="AT78" s="84"/>
      <c r="AU78" s="123"/>
      <c r="AV78" s="123"/>
      <c r="AW78" s="84"/>
      <c r="AX78" s="83"/>
      <c r="AY78" s="84"/>
      <c r="AZ78" s="196"/>
      <c r="BA78" s="183"/>
      <c r="BB78" s="123"/>
      <c r="BC78" s="123"/>
      <c r="BD78" s="84"/>
      <c r="BE78" s="83"/>
      <c r="BF78" s="84"/>
      <c r="BG78" s="196"/>
      <c r="BH78" s="183"/>
      <c r="BI78" s="119"/>
      <c r="BJ78" s="146"/>
      <c r="BK78" s="8"/>
      <c r="BL78" s="123"/>
      <c r="BN78" s="122"/>
      <c r="BO78" s="122"/>
      <c r="BP78" s="123"/>
      <c r="BR78" s="83"/>
      <c r="BS78" s="83"/>
      <c r="BT78" s="84"/>
    </row>
    <row r="79" spans="1:74" ht="15.6">
      <c r="A79" s="57"/>
      <c r="B79" s="852" t="s">
        <v>293</v>
      </c>
      <c r="C79" s="56" t="s">
        <v>294</v>
      </c>
      <c r="D79" s="56"/>
      <c r="E79" s="57"/>
      <c r="F79" s="56"/>
      <c r="G79" s="56"/>
      <c r="H79" s="56"/>
      <c r="I79" s="56"/>
      <c r="J79" s="760"/>
      <c r="K79" s="100"/>
      <c r="L79" s="1112">
        <f>M79/$K$56</f>
        <v>161.70774647887325</v>
      </c>
      <c r="M79" s="58">
        <f>M80+M87</f>
        <v>91850</v>
      </c>
      <c r="N79" s="1087"/>
      <c r="O79" s="1138">
        <f>P79/$K$56</f>
        <v>160.10915492957747</v>
      </c>
      <c r="P79" s="1139">
        <f>P80+P87</f>
        <v>90942</v>
      </c>
      <c r="Q79" s="1086"/>
      <c r="R79" s="212"/>
      <c r="S79" s="569">
        <v>1.1000000000000001</v>
      </c>
      <c r="T79" s="58">
        <f>S79*M79</f>
        <v>101035.00000000001</v>
      </c>
      <c r="U79" s="58"/>
      <c r="V79" s="58"/>
      <c r="W79" s="212"/>
      <c r="X79" s="569">
        <v>1.25</v>
      </c>
      <c r="Y79" s="58">
        <f>X79*M79</f>
        <v>114812.5</v>
      </c>
      <c r="Z79" s="58"/>
      <c r="AA79" s="58"/>
      <c r="AB79" s="212"/>
      <c r="AC79" s="569">
        <v>1.5</v>
      </c>
      <c r="AD79" s="58">
        <f>AC79*M79</f>
        <v>137775</v>
      </c>
      <c r="AE79" s="58"/>
      <c r="AF79" s="58"/>
      <c r="AG79" s="212"/>
      <c r="AH79" s="904">
        <f>_xlfn.PERCENTOF(M79,M176)</f>
        <v>7.8664965185293034E-2</v>
      </c>
      <c r="AI79" s="58"/>
      <c r="AJ79" s="514">
        <f>MROUND(M79,1000)</f>
        <v>92000</v>
      </c>
      <c r="AK79" s="58"/>
      <c r="AL79" s="212"/>
      <c r="AM79" s="58"/>
      <c r="AN79" s="545"/>
      <c r="AO79" s="58">
        <f>SUM(AO81:AO92)</f>
        <v>91850</v>
      </c>
      <c r="AP79" s="58"/>
      <c r="AQ79" s="514"/>
      <c r="AR79" s="58"/>
      <c r="AS79" s="169">
        <f>AO79-T79</f>
        <v>-9185.0000000000146</v>
      </c>
      <c r="AT79" s="58"/>
      <c r="AU79" s="8"/>
      <c r="AV79" s="8"/>
      <c r="AW79" s="58"/>
      <c r="AX79" s="58">
        <f>SUM(AX81:AX92)</f>
        <v>92118</v>
      </c>
      <c r="AY79" s="58"/>
      <c r="AZ79" s="212"/>
      <c r="BA79" s="184">
        <f>M79-AX79</f>
        <v>-268</v>
      </c>
      <c r="BB79" s="8"/>
      <c r="BC79" s="8"/>
      <c r="BD79" s="58"/>
      <c r="BE79" s="58">
        <f>SUM(BE81:BE92)</f>
        <v>87426</v>
      </c>
      <c r="BF79" s="58"/>
      <c r="BG79" s="212"/>
      <c r="BH79" s="184">
        <f>M79-BE79</f>
        <v>4424</v>
      </c>
      <c r="BI79" s="147"/>
      <c r="BJ79" s="146"/>
      <c r="BL79" s="8"/>
      <c r="BN79" s="135"/>
      <c r="BO79" s="6"/>
      <c r="BP79" s="8"/>
      <c r="BR79" s="58"/>
      <c r="BS79" s="58"/>
      <c r="BT79" s="58">
        <f>SUM(BT81:BT92)</f>
        <v>95064</v>
      </c>
    </row>
    <row r="80" spans="1:74" ht="15.6">
      <c r="A80" s="812"/>
      <c r="B80" s="848"/>
      <c r="C80" s="760"/>
      <c r="D80" s="89" t="s">
        <v>339</v>
      </c>
      <c r="E80" s="74"/>
      <c r="F80" s="89"/>
      <c r="G80" s="89"/>
      <c r="H80" s="760"/>
      <c r="I80" s="760"/>
      <c r="J80" s="760"/>
      <c r="K80" s="791"/>
      <c r="L80" s="1107">
        <f>M80/$K$56</f>
        <v>79.137323943661968</v>
      </c>
      <c r="M80" s="73">
        <f>SUM(M81:M85)</f>
        <v>44950</v>
      </c>
      <c r="N80" s="1088"/>
      <c r="O80" s="1134">
        <f t="shared" ref="O80:O150" si="13">P80/$K$56</f>
        <v>78.936619718309856</v>
      </c>
      <c r="P80" s="1134">
        <f>SUM(P81:P85)</f>
        <v>44836</v>
      </c>
      <c r="Q80" s="1086"/>
      <c r="R80" s="198"/>
      <c r="S80" s="580"/>
      <c r="T80" s="73">
        <f>S79*M80</f>
        <v>49445.000000000007</v>
      </c>
      <c r="U80" s="8"/>
      <c r="V80" s="8"/>
      <c r="W80" s="198"/>
      <c r="X80" s="580"/>
      <c r="Y80" s="73">
        <f>X79*M80</f>
        <v>56187.5</v>
      </c>
      <c r="Z80" s="8"/>
      <c r="AA80" s="8"/>
      <c r="AB80" s="198"/>
      <c r="AC80" s="580"/>
      <c r="AD80" s="73">
        <f>AC79*M80</f>
        <v>67425</v>
      </c>
      <c r="AE80" s="8"/>
      <c r="AF80" s="8"/>
      <c r="AG80" s="198"/>
      <c r="AH80" s="889"/>
      <c r="AI80" s="8"/>
      <c r="AJ80" s="514">
        <f>MROUND(M80,1000)</f>
        <v>45000</v>
      </c>
      <c r="AK80" s="8"/>
      <c r="AL80" s="198"/>
      <c r="AM80" s="8"/>
      <c r="AN80" s="534"/>
      <c r="AO80" s="73"/>
      <c r="AP80" s="73"/>
      <c r="AQ80" s="797"/>
      <c r="AR80" s="73"/>
      <c r="AS80" s="772"/>
      <c r="AT80" s="8"/>
      <c r="AU80" s="8"/>
      <c r="AV80" s="8"/>
      <c r="AW80" s="8"/>
      <c r="AX80" s="8"/>
      <c r="AY80" s="8"/>
      <c r="AZ80" s="198"/>
      <c r="BA80" s="790"/>
      <c r="BB80" s="8"/>
      <c r="BC80" s="8"/>
      <c r="BD80" s="8"/>
      <c r="BE80" s="8"/>
      <c r="BF80" s="8"/>
      <c r="BG80" s="198"/>
      <c r="BH80" s="790"/>
      <c r="BI80" s="778"/>
      <c r="BJ80" s="146"/>
      <c r="BL80" s="8"/>
      <c r="BN80" s="135"/>
      <c r="BO80" s="6"/>
      <c r="BP80" s="8"/>
      <c r="BR80" s="8"/>
      <c r="BS80" s="8"/>
      <c r="BT80" s="8"/>
    </row>
    <row r="81" spans="1:73" ht="15.6">
      <c r="A81" s="812"/>
      <c r="B81" s="848" t="s">
        <v>435</v>
      </c>
      <c r="D81" s="6"/>
      <c r="E81" s="1" t="s">
        <v>295</v>
      </c>
      <c r="F81" s="6"/>
      <c r="G81" s="6"/>
      <c r="H81" s="6"/>
      <c r="I81" s="6"/>
      <c r="J81" s="26"/>
      <c r="K81" s="25"/>
      <c r="L81" s="1080">
        <f>M81/K55</f>
        <v>57.491289198606275</v>
      </c>
      <c r="M81" s="1081">
        <v>33000</v>
      </c>
      <c r="N81" s="1081"/>
      <c r="O81" s="1128">
        <f t="shared" si="13"/>
        <v>68.16901408450704</v>
      </c>
      <c r="P81" s="1128">
        <v>38720</v>
      </c>
      <c r="Q81" s="1086"/>
      <c r="R81" s="207"/>
      <c r="S81" s="562"/>
      <c r="T81" s="25">
        <f>S79*M81</f>
        <v>36300</v>
      </c>
      <c r="U81" s="25"/>
      <c r="V81" s="25"/>
      <c r="W81" s="207"/>
      <c r="X81" s="25"/>
      <c r="Y81" s="25">
        <f>X79*M81</f>
        <v>41250</v>
      </c>
      <c r="Z81" s="25"/>
      <c r="AA81" s="25"/>
      <c r="AB81" s="207"/>
      <c r="AC81" s="25"/>
      <c r="AD81" s="25">
        <f>AC79*M81</f>
        <v>49500</v>
      </c>
      <c r="AE81" s="25"/>
      <c r="AF81" s="25"/>
      <c r="AG81" s="207"/>
      <c r="AH81" s="893"/>
      <c r="AI81" s="25"/>
      <c r="AJ81" s="180"/>
      <c r="AK81" s="25"/>
      <c r="AL81" s="207"/>
      <c r="AM81" s="25"/>
      <c r="AN81" s="541"/>
      <c r="AO81" s="600">
        <v>24500</v>
      </c>
      <c r="AP81" s="600"/>
      <c r="AQ81" s="601" t="s">
        <v>164</v>
      </c>
      <c r="AR81" s="600"/>
      <c r="AS81" s="596">
        <f>AO81-T81</f>
        <v>-11800</v>
      </c>
      <c r="AT81" s="25"/>
      <c r="AU81" s="25"/>
      <c r="AV81" s="25"/>
      <c r="AW81" s="25"/>
      <c r="AX81" s="25">
        <v>42354</v>
      </c>
      <c r="AY81" s="25"/>
      <c r="AZ81" s="207"/>
      <c r="BA81" s="180"/>
      <c r="BB81" s="25"/>
      <c r="BC81" s="25"/>
      <c r="BD81" s="25"/>
      <c r="BE81" s="25">
        <v>33235</v>
      </c>
      <c r="BF81" s="25"/>
      <c r="BG81" s="207"/>
      <c r="BH81" s="180"/>
      <c r="BI81" s="148"/>
      <c r="BJ81" s="25"/>
      <c r="BK81" s="50"/>
      <c r="BL81" s="25"/>
      <c r="BN81" s="25"/>
      <c r="BO81" s="50"/>
      <c r="BP81" s="25"/>
      <c r="BR81" s="25"/>
      <c r="BS81" s="110">
        <f>BT81/BR$55</f>
        <v>59.792817679558013</v>
      </c>
      <c r="BT81" s="25">
        <v>43290</v>
      </c>
    </row>
    <row r="82" spans="1:73" ht="15.6">
      <c r="A82" s="812"/>
      <c r="B82" s="848" t="s">
        <v>435</v>
      </c>
      <c r="D82" s="6"/>
      <c r="E82" s="1" t="s">
        <v>549</v>
      </c>
      <c r="F82" s="6"/>
      <c r="G82" s="6"/>
      <c r="H82" s="6"/>
      <c r="I82" s="6"/>
      <c r="J82" s="26"/>
      <c r="K82" s="25"/>
      <c r="L82" s="1080">
        <f>M82/K55</f>
        <v>10.017421602787456</v>
      </c>
      <c r="M82" s="1081">
        <f>38750-M81</f>
        <v>5750</v>
      </c>
      <c r="N82" s="1081"/>
      <c r="O82" s="1140">
        <v>0</v>
      </c>
      <c r="P82" s="1140" t="s">
        <v>572</v>
      </c>
      <c r="Q82" s="1086"/>
      <c r="R82" s="207"/>
      <c r="S82" s="562"/>
      <c r="T82" s="25">
        <f>S79*M82</f>
        <v>6325.0000000000009</v>
      </c>
      <c r="U82" s="25"/>
      <c r="V82" s="25"/>
      <c r="W82" s="207"/>
      <c r="X82" s="25"/>
      <c r="Y82" s="25">
        <f>X79*M82</f>
        <v>7187.5</v>
      </c>
      <c r="Z82" s="25"/>
      <c r="AA82" s="25"/>
      <c r="AB82" s="207"/>
      <c r="AC82" s="25"/>
      <c r="AD82" s="25">
        <f>AC79*M82</f>
        <v>8625</v>
      </c>
      <c r="AE82" s="25"/>
      <c r="AF82" s="25"/>
      <c r="AG82" s="207"/>
      <c r="AH82" s="893"/>
      <c r="AI82" s="25"/>
      <c r="AJ82" s="180"/>
      <c r="AK82" s="25"/>
      <c r="AL82" s="207"/>
      <c r="AM82" s="25"/>
      <c r="AN82" s="541"/>
      <c r="AO82" s="600">
        <v>14250</v>
      </c>
      <c r="AP82" s="600"/>
      <c r="AQ82" s="601" t="s">
        <v>164</v>
      </c>
      <c r="AR82" s="600"/>
      <c r="AS82" s="596">
        <f>AO82-T82</f>
        <v>7924.9999999999991</v>
      </c>
      <c r="AT82" s="25"/>
      <c r="AU82" s="25"/>
      <c r="AV82" s="25"/>
      <c r="AW82" s="25"/>
      <c r="AX82" s="35" t="s">
        <v>44</v>
      </c>
      <c r="AY82" s="25"/>
      <c r="AZ82" s="207"/>
      <c r="BA82" s="180"/>
      <c r="BB82" s="25"/>
      <c r="BC82" s="25"/>
      <c r="BD82" s="25"/>
      <c r="BE82" s="35" t="s">
        <v>44</v>
      </c>
      <c r="BF82" s="25"/>
      <c r="BG82" s="207"/>
      <c r="BH82" s="180"/>
      <c r="BI82" s="148"/>
      <c r="BJ82" s="25"/>
      <c r="BK82" s="50"/>
      <c r="BL82" s="25"/>
      <c r="BN82" s="25"/>
      <c r="BO82" s="50"/>
      <c r="BP82" s="25"/>
      <c r="BR82" s="25"/>
      <c r="BS82" s="110">
        <f t="shared" ref="BS82:BS92" si="14">BT82/BR$55</f>
        <v>0</v>
      </c>
      <c r="BT82" s="25">
        <v>0</v>
      </c>
    </row>
    <row r="83" spans="1:73" ht="15.6">
      <c r="A83" s="812"/>
      <c r="B83" s="848" t="s">
        <v>440</v>
      </c>
      <c r="D83" s="6"/>
      <c r="E83" s="1" t="s">
        <v>296</v>
      </c>
      <c r="F83" s="6"/>
      <c r="G83" s="6"/>
      <c r="H83" s="6"/>
      <c r="I83" s="6"/>
      <c r="J83" s="26"/>
      <c r="K83" s="25"/>
      <c r="L83" s="1080">
        <v>0</v>
      </c>
      <c r="M83" s="1081">
        <v>0</v>
      </c>
      <c r="N83" s="1081"/>
      <c r="O83" s="1128">
        <f t="shared" si="13"/>
        <v>0</v>
      </c>
      <c r="P83" s="1128">
        <v>0</v>
      </c>
      <c r="Q83" s="1081"/>
      <c r="R83" s="207"/>
      <c r="S83" s="562"/>
      <c r="T83" s="25">
        <f>S79*M83</f>
        <v>0</v>
      </c>
      <c r="U83" s="25"/>
      <c r="V83" s="25"/>
      <c r="W83" s="207"/>
      <c r="X83" s="25"/>
      <c r="Y83" s="25">
        <f>X79*M83</f>
        <v>0</v>
      </c>
      <c r="Z83" s="25"/>
      <c r="AA83" s="25"/>
      <c r="AB83" s="207"/>
      <c r="AC83" s="25"/>
      <c r="AD83" s="25">
        <f>AC79*M83</f>
        <v>0</v>
      </c>
      <c r="AE83" s="25"/>
      <c r="AF83" s="25"/>
      <c r="AG83" s="207"/>
      <c r="AH83" s="893"/>
      <c r="AI83" s="25"/>
      <c r="AJ83" s="180"/>
      <c r="AK83" s="25"/>
      <c r="AL83" s="207"/>
      <c r="AM83" s="25"/>
      <c r="AN83" s="541"/>
      <c r="AO83" s="600"/>
      <c r="AP83" s="600"/>
      <c r="AQ83" s="601"/>
      <c r="AR83" s="600"/>
      <c r="AS83" s="596"/>
      <c r="AT83" s="25"/>
      <c r="AU83" s="25"/>
      <c r="AV83" s="25"/>
      <c r="AW83" s="25"/>
      <c r="AX83" s="35"/>
      <c r="AY83" s="25"/>
      <c r="AZ83" s="207"/>
      <c r="BA83" s="180"/>
      <c r="BB83" s="25"/>
      <c r="BC83" s="25"/>
      <c r="BD83" s="25"/>
      <c r="BE83" s="35"/>
      <c r="BF83" s="25"/>
      <c r="BG83" s="207"/>
      <c r="BH83" s="180"/>
      <c r="BI83" s="148"/>
      <c r="BJ83" s="25"/>
      <c r="BK83" s="50"/>
      <c r="BL83" s="25"/>
      <c r="BN83" s="25"/>
      <c r="BO83" s="50"/>
      <c r="BP83" s="25"/>
      <c r="BR83" s="25"/>
      <c r="BS83" s="110"/>
      <c r="BT83" s="25"/>
    </row>
    <row r="84" spans="1:73" ht="15.6">
      <c r="A84" s="812"/>
      <c r="B84" s="848" t="s">
        <v>441</v>
      </c>
      <c r="D84" s="6"/>
      <c r="E84" s="1" t="s">
        <v>297</v>
      </c>
      <c r="F84" s="6"/>
      <c r="G84" s="6"/>
      <c r="H84" s="6"/>
      <c r="I84" s="6"/>
      <c r="J84" s="26"/>
      <c r="K84" s="25"/>
      <c r="L84" s="1080">
        <f>M84/$K$56</f>
        <v>3.1690140845070425</v>
      </c>
      <c r="M84" s="1081">
        <v>1800</v>
      </c>
      <c r="N84" s="1081"/>
      <c r="O84" s="1128">
        <f t="shared" si="13"/>
        <v>3.0985915492957745</v>
      </c>
      <c r="P84" s="1128">
        <v>1760</v>
      </c>
      <c r="Q84" s="1081"/>
      <c r="R84" s="207"/>
      <c r="S84" s="562"/>
      <c r="T84" s="25">
        <f>S79*M84</f>
        <v>1980.0000000000002</v>
      </c>
      <c r="U84" s="25"/>
      <c r="V84" s="25"/>
      <c r="W84" s="207"/>
      <c r="X84" s="25"/>
      <c r="Y84" s="25">
        <f>X79*M84</f>
        <v>2250</v>
      </c>
      <c r="Z84" s="25"/>
      <c r="AA84" s="25"/>
      <c r="AB84" s="207"/>
      <c r="AC84" s="25"/>
      <c r="AD84" s="25">
        <f>AC79*M84</f>
        <v>2700</v>
      </c>
      <c r="AE84" s="25"/>
      <c r="AF84" s="25"/>
      <c r="AG84" s="207"/>
      <c r="AH84" s="893"/>
      <c r="AI84" s="25"/>
      <c r="AJ84" s="180"/>
      <c r="AK84" s="25"/>
      <c r="AL84" s="207"/>
      <c r="AM84" s="25"/>
      <c r="AN84" s="541"/>
      <c r="AO84" s="600">
        <v>1800</v>
      </c>
      <c r="AP84" s="600"/>
      <c r="AQ84" s="601" t="s">
        <v>163</v>
      </c>
      <c r="AR84" s="600"/>
      <c r="AS84" s="596">
        <f>AO84-T84</f>
        <v>-180.00000000000023</v>
      </c>
      <c r="AT84" s="25"/>
      <c r="AU84" s="25"/>
      <c r="AV84" s="25"/>
      <c r="AW84" s="25"/>
      <c r="AX84" s="25"/>
      <c r="AY84" s="25"/>
      <c r="AZ84" s="207"/>
      <c r="BA84" s="180"/>
      <c r="BB84" s="25"/>
      <c r="BC84" s="25"/>
      <c r="BD84" s="25"/>
      <c r="BE84" s="25">
        <v>3688</v>
      </c>
      <c r="BF84" s="25"/>
      <c r="BG84" s="207"/>
      <c r="BH84" s="180"/>
      <c r="BI84" s="148"/>
      <c r="BJ84" s="25"/>
      <c r="BK84" s="50"/>
      <c r="BL84" s="25"/>
      <c r="BN84" s="25"/>
      <c r="BO84" s="50"/>
      <c r="BP84" s="25"/>
      <c r="BR84" s="25"/>
      <c r="BS84" s="110">
        <f t="shared" si="14"/>
        <v>2.0441988950276242</v>
      </c>
      <c r="BT84" s="25">
        <v>1480</v>
      </c>
    </row>
    <row r="85" spans="1:73" ht="15.6">
      <c r="A85" s="812"/>
      <c r="B85" s="848" t="s">
        <v>442</v>
      </c>
      <c r="D85" s="6"/>
      <c r="E85" s="789" t="s">
        <v>298</v>
      </c>
      <c r="F85" s="6"/>
      <c r="G85" s="6"/>
      <c r="H85" s="6"/>
      <c r="I85" s="6"/>
      <c r="J85" s="26"/>
      <c r="K85" s="25"/>
      <c r="L85" s="1080">
        <f>M85/$K$56</f>
        <v>7.746478873239437</v>
      </c>
      <c r="M85" s="1081">
        <v>4400</v>
      </c>
      <c r="N85" s="1081"/>
      <c r="O85" s="1128">
        <f t="shared" si="13"/>
        <v>7.669014084507042</v>
      </c>
      <c r="P85" s="1128">
        <v>4356</v>
      </c>
      <c r="Q85" s="1081"/>
      <c r="R85" s="207"/>
      <c r="S85" s="562"/>
      <c r="T85" s="801">
        <f>S79*M85</f>
        <v>4840</v>
      </c>
      <c r="U85" s="25"/>
      <c r="V85" s="25"/>
      <c r="W85" s="207"/>
      <c r="X85" s="25"/>
      <c r="Y85" s="801">
        <f>X79*M85</f>
        <v>5500</v>
      </c>
      <c r="Z85" s="25"/>
      <c r="AA85" s="25"/>
      <c r="AB85" s="207"/>
      <c r="AC85" s="25"/>
      <c r="AD85" s="801">
        <f>AC79*M85</f>
        <v>6600</v>
      </c>
      <c r="AE85" s="25"/>
      <c r="AF85" s="25"/>
      <c r="AG85" s="207"/>
      <c r="AH85" s="893"/>
      <c r="AI85" s="25"/>
      <c r="AJ85" s="180"/>
      <c r="AK85" s="25"/>
      <c r="AL85" s="207"/>
      <c r="AM85" s="25"/>
      <c r="AN85" s="541"/>
      <c r="AO85" s="600">
        <v>4400</v>
      </c>
      <c r="AP85" s="600"/>
      <c r="AQ85" s="601" t="s">
        <v>164</v>
      </c>
      <c r="AR85" s="600"/>
      <c r="AS85" s="596">
        <f>AO85-T85</f>
        <v>-440</v>
      </c>
      <c r="AT85" s="25"/>
      <c r="AU85" s="25"/>
      <c r="AV85" s="25"/>
      <c r="AW85" s="25"/>
      <c r="AX85" s="25"/>
      <c r="AY85" s="25"/>
      <c r="AZ85" s="207"/>
      <c r="BA85" s="180"/>
      <c r="BB85" s="25"/>
      <c r="BC85" s="25"/>
      <c r="BD85" s="25"/>
      <c r="BE85" s="25"/>
      <c r="BF85" s="25"/>
      <c r="BG85" s="207"/>
      <c r="BH85" s="180"/>
      <c r="BI85" s="148"/>
      <c r="BJ85" s="25"/>
      <c r="BK85" s="50"/>
      <c r="BL85" s="25"/>
      <c r="BN85" s="25"/>
      <c r="BO85" s="50"/>
      <c r="BP85" s="25"/>
      <c r="BR85" s="25"/>
      <c r="BS85" s="110"/>
      <c r="BT85" s="25"/>
    </row>
    <row r="86" spans="1:73" ht="15.6">
      <c r="B86" s="848"/>
      <c r="D86" s="6"/>
      <c r="E86" s="789"/>
      <c r="F86" s="6"/>
      <c r="G86" s="6"/>
      <c r="H86" s="6"/>
      <c r="I86" s="6"/>
      <c r="J86" s="26"/>
      <c r="K86" s="25"/>
      <c r="L86" s="1080"/>
      <c r="M86" s="1095"/>
      <c r="N86" s="1095"/>
      <c r="O86" s="1128" t="s">
        <v>0</v>
      </c>
      <c r="P86" s="1128"/>
      <c r="Q86" s="1081"/>
      <c r="R86" s="207"/>
      <c r="S86" s="562"/>
      <c r="T86" s="780"/>
      <c r="U86" s="25"/>
      <c r="V86" s="25"/>
      <c r="W86" s="207"/>
      <c r="X86" s="25"/>
      <c r="Y86" s="780"/>
      <c r="Z86" s="25"/>
      <c r="AA86" s="25"/>
      <c r="AB86" s="207"/>
      <c r="AC86" s="25"/>
      <c r="AD86" s="780"/>
      <c r="AE86" s="25"/>
      <c r="AF86" s="25"/>
      <c r="AG86" s="207"/>
      <c r="AH86" s="893"/>
      <c r="AI86" s="25"/>
      <c r="AJ86" s="180"/>
      <c r="AK86" s="25"/>
      <c r="AL86" s="207"/>
      <c r="AM86" s="25"/>
      <c r="AN86" s="541"/>
      <c r="AO86" s="600"/>
      <c r="AP86" s="600"/>
      <c r="AQ86" s="601"/>
      <c r="AR86" s="600"/>
      <c r="AS86" s="596"/>
      <c r="AT86" s="25"/>
      <c r="AU86" s="25"/>
      <c r="AV86" s="25"/>
      <c r="AW86" s="25"/>
      <c r="AX86" s="25"/>
      <c r="AY86" s="25"/>
      <c r="AZ86" s="207"/>
      <c r="BA86" s="180"/>
      <c r="BB86" s="25"/>
      <c r="BC86" s="25"/>
      <c r="BD86" s="25"/>
      <c r="BE86" s="25"/>
      <c r="BF86" s="25"/>
      <c r="BG86" s="207"/>
      <c r="BH86" s="180"/>
      <c r="BI86" s="148"/>
      <c r="BJ86" s="25"/>
      <c r="BK86" s="50"/>
      <c r="BL86" s="25"/>
      <c r="BN86" s="25"/>
      <c r="BO86" s="50"/>
      <c r="BP86" s="25"/>
      <c r="BR86" s="25"/>
      <c r="BS86" s="110"/>
      <c r="BT86" s="25"/>
    </row>
    <row r="87" spans="1:73" ht="15.6">
      <c r="A87" s="812"/>
      <c r="B87" s="848"/>
      <c r="D87" s="72" t="s">
        <v>121</v>
      </c>
      <c r="E87" s="793"/>
      <c r="F87" s="72"/>
      <c r="G87" s="72"/>
      <c r="H87" s="6"/>
      <c r="I87" s="6"/>
      <c r="J87" s="26"/>
      <c r="K87" s="779"/>
      <c r="L87" s="1107">
        <f t="shared" ref="L87" si="15">M87/$K$56</f>
        <v>82.570422535211264</v>
      </c>
      <c r="M87" s="1108">
        <f>SUM(M88:M92)</f>
        <v>46900</v>
      </c>
      <c r="N87" s="1096"/>
      <c r="O87" s="1134">
        <f t="shared" si="13"/>
        <v>81.172535211267601</v>
      </c>
      <c r="P87" s="1134">
        <f>SUM(P88:P92)</f>
        <v>46106</v>
      </c>
      <c r="Q87" s="1081"/>
      <c r="R87" s="207"/>
      <c r="S87" s="577"/>
      <c r="T87" s="73">
        <f>S79*M87</f>
        <v>51590.000000000007</v>
      </c>
      <c r="U87" s="25"/>
      <c r="V87" s="25"/>
      <c r="W87" s="207"/>
      <c r="X87" s="779"/>
      <c r="Y87" s="73">
        <f>X79*M87</f>
        <v>58625</v>
      </c>
      <c r="Z87" s="25"/>
      <c r="AA87" s="25"/>
      <c r="AB87" s="207"/>
      <c r="AC87" s="779"/>
      <c r="AD87" s="73">
        <f>AC79*M87</f>
        <v>70350</v>
      </c>
      <c r="AE87" s="25"/>
      <c r="AF87" s="25"/>
      <c r="AG87" s="207"/>
      <c r="AH87" s="893"/>
      <c r="AI87" s="25"/>
      <c r="AJ87" s="514">
        <f>MROUND(M87,1000)</f>
        <v>47000</v>
      </c>
      <c r="AK87" s="25"/>
      <c r="AL87" s="207"/>
      <c r="AM87" s="25"/>
      <c r="AN87" s="541"/>
      <c r="AO87" s="794"/>
      <c r="AP87" s="794"/>
      <c r="AQ87" s="795"/>
      <c r="AR87" s="794"/>
      <c r="AS87" s="796"/>
      <c r="AT87" s="25"/>
      <c r="AU87" s="25"/>
      <c r="AV87" s="25"/>
      <c r="AW87" s="25"/>
      <c r="AX87" s="25"/>
      <c r="AY87" s="25"/>
      <c r="AZ87" s="207"/>
      <c r="BA87" s="180"/>
      <c r="BB87" s="25"/>
      <c r="BC87" s="25"/>
      <c r="BD87" s="25"/>
      <c r="BE87" s="25"/>
      <c r="BF87" s="25"/>
      <c r="BG87" s="207"/>
      <c r="BH87" s="180"/>
      <c r="BI87" s="148"/>
      <c r="BJ87" s="25"/>
      <c r="BK87" s="50"/>
      <c r="BL87" s="25"/>
      <c r="BN87" s="25"/>
      <c r="BO87" s="50"/>
      <c r="BP87" s="25"/>
      <c r="BR87" s="25"/>
      <c r="BS87" s="110"/>
      <c r="BT87" s="25"/>
    </row>
    <row r="88" spans="1:73" ht="15.6">
      <c r="A88" s="812"/>
      <c r="B88" s="848" t="s">
        <v>436</v>
      </c>
      <c r="D88" s="6"/>
      <c r="E88" s="1" t="s">
        <v>300</v>
      </c>
      <c r="F88" s="6"/>
      <c r="G88" s="6"/>
      <c r="H88" s="6"/>
      <c r="I88" s="6"/>
      <c r="J88" s="26"/>
      <c r="K88" s="25"/>
      <c r="L88" s="1080">
        <f>M88/$K$56</f>
        <v>19.366197183098592</v>
      </c>
      <c r="M88" s="1081">
        <v>11000</v>
      </c>
      <c r="N88" s="1081"/>
      <c r="O88" s="1128">
        <f t="shared" si="13"/>
        <v>19.260563380281692</v>
      </c>
      <c r="P88" s="1128">
        <v>10940</v>
      </c>
      <c r="Q88" s="1081"/>
      <c r="R88" s="207"/>
      <c r="S88" s="562"/>
      <c r="T88" s="25">
        <f>S79*M88</f>
        <v>12100.000000000002</v>
      </c>
      <c r="U88" s="25"/>
      <c r="V88" s="25"/>
      <c r="W88" s="207"/>
      <c r="X88" s="25"/>
      <c r="Y88" s="25">
        <f>X79*M88</f>
        <v>13750</v>
      </c>
      <c r="Z88" s="25"/>
      <c r="AA88" s="25"/>
      <c r="AB88" s="207"/>
      <c r="AC88" s="25"/>
      <c r="AD88" s="25">
        <f>AC79*M88</f>
        <v>16500</v>
      </c>
      <c r="AE88" s="25"/>
      <c r="AF88" s="25"/>
      <c r="AG88" s="207"/>
      <c r="AH88" s="893"/>
      <c r="AI88" s="25"/>
      <c r="AJ88" s="180"/>
      <c r="AK88" s="25"/>
      <c r="AL88" s="207"/>
      <c r="AM88" s="25"/>
      <c r="AN88" s="541"/>
      <c r="AO88" s="600">
        <v>11000</v>
      </c>
      <c r="AP88" s="600"/>
      <c r="AQ88" s="601" t="s">
        <v>164</v>
      </c>
      <c r="AR88" s="600"/>
      <c r="AS88" s="596">
        <f>AO88-T88</f>
        <v>-1100.0000000000018</v>
      </c>
      <c r="AT88" s="25"/>
      <c r="AU88" s="25"/>
      <c r="AV88" s="25"/>
      <c r="AW88" s="25"/>
      <c r="AX88" s="25">
        <v>11005</v>
      </c>
      <c r="AY88" s="25"/>
      <c r="AZ88" s="207"/>
      <c r="BA88" s="180"/>
      <c r="BB88" s="25"/>
      <c r="BC88" s="25"/>
      <c r="BD88" s="25"/>
      <c r="BE88" s="25">
        <v>13971</v>
      </c>
      <c r="BF88" s="25"/>
      <c r="BG88" s="207"/>
      <c r="BH88" s="180"/>
      <c r="BI88" s="148"/>
      <c r="BJ88" s="25"/>
      <c r="BK88" s="50"/>
      <c r="BL88" s="25"/>
      <c r="BN88" s="25"/>
      <c r="BO88" s="50"/>
      <c r="BP88" s="25"/>
      <c r="BR88" s="25"/>
      <c r="BS88" s="110">
        <f t="shared" si="14"/>
        <v>15.535911602209945</v>
      </c>
      <c r="BT88" s="25">
        <v>11248</v>
      </c>
    </row>
    <row r="89" spans="1:73" ht="15.6">
      <c r="A89" s="812"/>
      <c r="B89" s="848" t="s">
        <v>437</v>
      </c>
      <c r="D89" s="6"/>
      <c r="E89" s="1" t="s">
        <v>301</v>
      </c>
      <c r="F89" s="6"/>
      <c r="G89" s="6"/>
      <c r="H89" s="6"/>
      <c r="I89" s="6"/>
      <c r="J89" s="26"/>
      <c r="K89" s="25"/>
      <c r="L89" s="1080">
        <f>M89/$K$56</f>
        <v>4.401408450704225</v>
      </c>
      <c r="M89" s="1081">
        <v>2500</v>
      </c>
      <c r="N89" s="1081"/>
      <c r="O89" s="1128">
        <f t="shared" si="13"/>
        <v>4.3609154929577461</v>
      </c>
      <c r="P89" s="1128">
        <v>2477</v>
      </c>
      <c r="Q89" s="1081"/>
      <c r="R89" s="207"/>
      <c r="S89" s="562"/>
      <c r="T89" s="25">
        <f>S79*M89</f>
        <v>2750</v>
      </c>
      <c r="U89" s="25"/>
      <c r="V89" s="25"/>
      <c r="W89" s="207"/>
      <c r="X89" s="25"/>
      <c r="Y89" s="25">
        <f>X79*M89</f>
        <v>3125</v>
      </c>
      <c r="Z89" s="25"/>
      <c r="AA89" s="25"/>
      <c r="AB89" s="207"/>
      <c r="AC89" s="25"/>
      <c r="AD89" s="25">
        <f>AC79*M89</f>
        <v>3750</v>
      </c>
      <c r="AE89" s="25"/>
      <c r="AF89" s="25"/>
      <c r="AG89" s="207"/>
      <c r="AH89" s="893"/>
      <c r="AI89" s="25"/>
      <c r="AJ89" s="180"/>
      <c r="AK89" s="25"/>
      <c r="AL89" s="207"/>
      <c r="AM89" s="25"/>
      <c r="AN89" s="541"/>
      <c r="AO89" s="600">
        <v>2500</v>
      </c>
      <c r="AP89" s="600"/>
      <c r="AQ89" s="601" t="s">
        <v>164</v>
      </c>
      <c r="AR89" s="600"/>
      <c r="AS89" s="596">
        <f>AO89-T89</f>
        <v>-250</v>
      </c>
      <c r="AT89" s="25"/>
      <c r="AU89" s="25"/>
      <c r="AV89" s="25"/>
      <c r="AW89" s="25"/>
      <c r="AX89" s="25">
        <v>1882</v>
      </c>
      <c r="AY89" s="25"/>
      <c r="AZ89" s="207"/>
      <c r="BA89" s="180"/>
      <c r="BB89" s="25"/>
      <c r="BC89" s="25"/>
      <c r="BD89" s="25"/>
      <c r="BE89" s="25">
        <v>2452</v>
      </c>
      <c r="BF89" s="25"/>
      <c r="BG89" s="207"/>
      <c r="BH89" s="180"/>
      <c r="BI89" s="148"/>
      <c r="BJ89" s="25"/>
      <c r="BK89" s="50"/>
      <c r="BL89" s="25"/>
      <c r="BN89" s="25"/>
      <c r="BO89" s="50"/>
      <c r="BP89" s="25"/>
      <c r="BR89" s="25"/>
      <c r="BS89" s="110">
        <f t="shared" si="14"/>
        <v>2.6574585635359118</v>
      </c>
      <c r="BT89" s="25">
        <v>1924</v>
      </c>
    </row>
    <row r="90" spans="1:73" ht="15.6">
      <c r="A90" s="812"/>
      <c r="B90" s="848" t="s">
        <v>438</v>
      </c>
      <c r="D90" s="11"/>
      <c r="E90" s="1" t="s">
        <v>302</v>
      </c>
      <c r="F90" s="11"/>
      <c r="G90" s="11"/>
      <c r="H90" s="11"/>
      <c r="I90" s="11"/>
      <c r="J90" s="26"/>
      <c r="K90" s="25"/>
      <c r="L90" s="1080">
        <f>M90/$K$56</f>
        <v>43.133802816901408</v>
      </c>
      <c r="M90" s="1081">
        <v>24500</v>
      </c>
      <c r="N90" s="1081"/>
      <c r="O90" s="1128">
        <f t="shared" si="13"/>
        <v>42.6637323943662</v>
      </c>
      <c r="P90" s="1128">
        <v>24233</v>
      </c>
      <c r="Q90" s="1081"/>
      <c r="R90" s="207"/>
      <c r="S90" s="562"/>
      <c r="T90" s="25">
        <f>S79*M90</f>
        <v>26950.000000000004</v>
      </c>
      <c r="U90" s="25"/>
      <c r="V90" s="25"/>
      <c r="W90" s="207"/>
      <c r="X90" s="25"/>
      <c r="Y90" s="25">
        <f>X79*M90</f>
        <v>30625</v>
      </c>
      <c r="Z90" s="25"/>
      <c r="AA90" s="25"/>
      <c r="AB90" s="207"/>
      <c r="AC90" s="25"/>
      <c r="AD90" s="25">
        <f>AC79*M90</f>
        <v>36750</v>
      </c>
      <c r="AE90" s="25"/>
      <c r="AF90" s="25"/>
      <c r="AG90" s="207"/>
      <c r="AH90" s="893"/>
      <c r="AI90" s="25"/>
      <c r="AJ90" s="180"/>
      <c r="AK90" s="25"/>
      <c r="AL90" s="207"/>
      <c r="AM90" s="25"/>
      <c r="AN90" s="541"/>
      <c r="AO90" s="600">
        <v>24500</v>
      </c>
      <c r="AP90" s="600"/>
      <c r="AQ90" s="601" t="s">
        <v>164</v>
      </c>
      <c r="AR90" s="600"/>
      <c r="AS90" s="596">
        <f>AO90-T90</f>
        <v>-2450.0000000000036</v>
      </c>
      <c r="AT90" s="25"/>
      <c r="AU90" s="25"/>
      <c r="AV90" s="25"/>
      <c r="AW90" s="25"/>
      <c r="AX90" s="25">
        <v>25800</v>
      </c>
      <c r="AY90" s="25"/>
      <c r="AZ90" s="207"/>
      <c r="BA90" s="180"/>
      <c r="BB90" s="25"/>
      <c r="BC90" s="25"/>
      <c r="BD90" s="25"/>
      <c r="BE90" s="25">
        <v>25225</v>
      </c>
      <c r="BF90" s="25"/>
      <c r="BG90" s="207"/>
      <c r="BH90" s="180"/>
      <c r="BI90" s="148"/>
      <c r="BJ90" s="25"/>
      <c r="BK90" s="50"/>
      <c r="BL90" s="25"/>
      <c r="BN90" s="25"/>
      <c r="BO90" s="50"/>
      <c r="BP90" s="25"/>
      <c r="BR90" s="25"/>
      <c r="BS90" s="110">
        <f t="shared" si="14"/>
        <v>35.635359116022101</v>
      </c>
      <c r="BT90" s="25">
        <v>25800</v>
      </c>
    </row>
    <row r="91" spans="1:73" ht="15.6">
      <c r="A91" s="812"/>
      <c r="B91" s="860" t="s">
        <v>299</v>
      </c>
      <c r="D91" s="6"/>
      <c r="E91" s="1" t="s">
        <v>546</v>
      </c>
      <c r="F91" s="6"/>
      <c r="G91" s="6"/>
      <c r="H91" s="6"/>
      <c r="I91" s="6"/>
      <c r="J91" s="26"/>
      <c r="K91" s="25"/>
      <c r="L91" s="1080">
        <f>M91/$K$56</f>
        <v>8.8028169014084501</v>
      </c>
      <c r="M91" s="1081">
        <v>5000</v>
      </c>
      <c r="N91" s="1081"/>
      <c r="O91" s="1128">
        <f t="shared" si="13"/>
        <v>7.987676056338028</v>
      </c>
      <c r="P91" s="1128">
        <v>4537</v>
      </c>
      <c r="Q91" s="1081"/>
      <c r="R91" s="207"/>
      <c r="S91" s="562"/>
      <c r="T91" s="25">
        <f>S79*M91</f>
        <v>5500</v>
      </c>
      <c r="U91" s="25"/>
      <c r="V91" s="25"/>
      <c r="W91" s="207"/>
      <c r="X91" s="25"/>
      <c r="Y91" s="25">
        <f>X79*M91</f>
        <v>6250</v>
      </c>
      <c r="Z91" s="25"/>
      <c r="AA91" s="25"/>
      <c r="AB91" s="207"/>
      <c r="AC91" s="25"/>
      <c r="AD91" s="25">
        <f>AC79*M91</f>
        <v>7500</v>
      </c>
      <c r="AE91" s="25"/>
      <c r="AF91" s="25"/>
      <c r="AG91" s="207"/>
      <c r="AH91" s="893"/>
      <c r="AI91" s="25"/>
      <c r="AJ91" s="180"/>
      <c r="AK91" s="25"/>
      <c r="AL91" s="207"/>
      <c r="AM91" s="25"/>
      <c r="AN91" s="541"/>
      <c r="AO91" s="600">
        <v>5000</v>
      </c>
      <c r="AP91" s="600"/>
      <c r="AQ91" s="601" t="s">
        <v>164</v>
      </c>
      <c r="AR91" s="600"/>
      <c r="AS91" s="596">
        <f>AO91-T91</f>
        <v>-500</v>
      </c>
      <c r="AT91" s="25"/>
      <c r="AU91" s="25"/>
      <c r="AV91" s="25"/>
      <c r="AW91" s="25"/>
      <c r="AX91" s="25">
        <v>7240</v>
      </c>
      <c r="AY91" s="25"/>
      <c r="AZ91" s="207"/>
      <c r="BA91" s="180"/>
      <c r="BB91" s="25"/>
      <c r="BC91" s="25"/>
      <c r="BD91" s="25"/>
      <c r="BE91" s="25">
        <v>6105</v>
      </c>
      <c r="BF91" s="25"/>
      <c r="BG91" s="207"/>
      <c r="BH91" s="180"/>
      <c r="BI91" s="148"/>
      <c r="BJ91" s="25"/>
      <c r="BK91" s="50"/>
      <c r="BL91" s="25"/>
      <c r="BN91" s="25"/>
      <c r="BO91" s="50"/>
      <c r="BP91" s="25"/>
      <c r="BR91" s="25"/>
      <c r="BS91" s="110">
        <f t="shared" si="14"/>
        <v>10.220994475138122</v>
      </c>
      <c r="BT91" s="25">
        <v>7400</v>
      </c>
    </row>
    <row r="92" spans="1:73" ht="15.6">
      <c r="A92" s="812"/>
      <c r="B92" s="848" t="s">
        <v>439</v>
      </c>
      <c r="D92" s="6"/>
      <c r="E92" s="1" t="s">
        <v>303</v>
      </c>
      <c r="F92" s="6"/>
      <c r="G92" s="6"/>
      <c r="H92" s="6"/>
      <c r="I92" s="6"/>
      <c r="J92" s="26"/>
      <c r="K92" s="25"/>
      <c r="L92" s="1080">
        <f>M92/$K$56</f>
        <v>6.8661971830985919</v>
      </c>
      <c r="M92" s="1081">
        <v>3900</v>
      </c>
      <c r="N92" s="1081"/>
      <c r="O92" s="1128">
        <f t="shared" si="13"/>
        <v>6.899647887323944</v>
      </c>
      <c r="P92" s="1128">
        <v>3919</v>
      </c>
      <c r="Q92" s="1081"/>
      <c r="R92" s="207"/>
      <c r="S92" s="562"/>
      <c r="T92" s="25">
        <f>S79*M92</f>
        <v>4290</v>
      </c>
      <c r="U92" s="25"/>
      <c r="V92" s="25"/>
      <c r="W92" s="207"/>
      <c r="X92" s="25"/>
      <c r="Y92" s="25">
        <f>X79*M92</f>
        <v>4875</v>
      </c>
      <c r="Z92" s="25"/>
      <c r="AA92" s="25"/>
      <c r="AB92" s="207"/>
      <c r="AC92" s="25"/>
      <c r="AD92" s="25">
        <f>AC79*M92</f>
        <v>5850</v>
      </c>
      <c r="AE92" s="25"/>
      <c r="AF92" s="25"/>
      <c r="AG92" s="207"/>
      <c r="AH92" s="893"/>
      <c r="AI92" s="25"/>
      <c r="AJ92" s="180"/>
      <c r="AK92" s="25"/>
      <c r="AL92" s="207"/>
      <c r="AM92" s="25"/>
      <c r="AN92" s="541"/>
      <c r="AO92" s="600">
        <v>3900</v>
      </c>
      <c r="AP92" s="600"/>
      <c r="AQ92" s="601" t="s">
        <v>163</v>
      </c>
      <c r="AR92" s="600"/>
      <c r="AS92" s="596">
        <f>AO92-T92</f>
        <v>-390</v>
      </c>
      <c r="AT92" s="25"/>
      <c r="AU92" s="25"/>
      <c r="AV92" s="25"/>
      <c r="AW92" s="25"/>
      <c r="AX92" s="25">
        <v>3837</v>
      </c>
      <c r="AY92" s="25"/>
      <c r="AZ92" s="207"/>
      <c r="BA92" s="180"/>
      <c r="BB92" s="25"/>
      <c r="BC92" s="25"/>
      <c r="BD92" s="25"/>
      <c r="BE92" s="25">
        <v>2750</v>
      </c>
      <c r="BF92" s="25"/>
      <c r="BG92" s="207"/>
      <c r="BH92" s="180"/>
      <c r="BI92" s="148"/>
      <c r="BJ92" s="25"/>
      <c r="BK92" s="50"/>
      <c r="BL92" s="25"/>
      <c r="BN92" s="25"/>
      <c r="BO92" s="50"/>
      <c r="BP92" s="25"/>
      <c r="BR92" s="25"/>
      <c r="BS92" s="110">
        <f t="shared" si="14"/>
        <v>5.4171270718232041</v>
      </c>
      <c r="BT92" s="25">
        <v>3922</v>
      </c>
    </row>
    <row r="93" spans="1:73" ht="15.6">
      <c r="B93" s="848"/>
      <c r="D93" s="6"/>
      <c r="E93" s="1"/>
      <c r="F93" s="6"/>
      <c r="G93" s="6"/>
      <c r="H93" s="6"/>
      <c r="I93" s="6"/>
      <c r="J93" s="91"/>
      <c r="K93" s="6"/>
      <c r="L93" s="6"/>
      <c r="M93" s="11"/>
      <c r="N93" s="1090"/>
      <c r="O93" s="1141"/>
      <c r="P93" s="1141"/>
      <c r="Q93" s="1090"/>
      <c r="R93" s="202"/>
      <c r="S93" s="562"/>
      <c r="T93" s="11"/>
      <c r="U93" s="11"/>
      <c r="V93" s="11"/>
      <c r="W93" s="202"/>
      <c r="X93" s="11"/>
      <c r="Y93" s="11"/>
      <c r="Z93" s="11"/>
      <c r="AA93" s="11"/>
      <c r="AB93" s="202"/>
      <c r="AC93" s="11"/>
      <c r="AD93" s="11"/>
      <c r="AE93" s="11"/>
      <c r="AF93" s="11"/>
      <c r="AG93" s="202"/>
      <c r="AH93" s="893"/>
      <c r="AI93" s="11"/>
      <c r="AJ93" s="26"/>
      <c r="AK93" s="11"/>
      <c r="AL93" s="202"/>
      <c r="AM93" s="11"/>
      <c r="AN93" s="538"/>
      <c r="AO93" s="11"/>
      <c r="AP93" s="11"/>
      <c r="AQ93" s="26"/>
      <c r="AR93" s="11"/>
      <c r="AS93" s="501"/>
      <c r="AT93" s="11"/>
      <c r="AU93" s="11"/>
      <c r="AV93" s="11"/>
      <c r="AW93" s="11"/>
      <c r="AX93" s="11"/>
      <c r="AY93" s="11"/>
      <c r="AZ93" s="202"/>
      <c r="BA93" s="26"/>
      <c r="BB93" s="11"/>
      <c r="BC93" s="11"/>
      <c r="BD93" s="11"/>
      <c r="BE93" s="11"/>
      <c r="BF93" s="11"/>
      <c r="BG93" s="202"/>
      <c r="BH93" s="26"/>
      <c r="BI93" s="148"/>
      <c r="BJ93" s="6"/>
      <c r="BK93" s="6"/>
      <c r="BL93" s="11"/>
      <c r="BN93" s="6"/>
      <c r="BO93" s="6"/>
      <c r="BP93" s="11"/>
      <c r="BR93" s="11"/>
      <c r="BS93" s="11"/>
      <c r="BT93" s="11"/>
    </row>
    <row r="94" spans="1:73" ht="15.6">
      <c r="A94" s="46"/>
      <c r="B94" s="853" t="s">
        <v>304</v>
      </c>
      <c r="C94" s="46" t="s">
        <v>305</v>
      </c>
      <c r="D94" s="46"/>
      <c r="E94" s="47"/>
      <c r="F94" s="46"/>
      <c r="G94" s="46"/>
      <c r="H94" s="46"/>
      <c r="I94" s="46"/>
      <c r="J94" s="760"/>
      <c r="K94" s="99"/>
      <c r="L94" s="1111">
        <f>M94/$K$56</f>
        <v>85.598591549295776</v>
      </c>
      <c r="M94" s="48">
        <f>M95+M100+M105</f>
        <v>48620</v>
      </c>
      <c r="N94" s="1087"/>
      <c r="O94" s="1142">
        <f t="shared" si="13"/>
        <v>91.556338028169009</v>
      </c>
      <c r="P94" s="1142">
        <f>P95+P100+P105</f>
        <v>52004</v>
      </c>
      <c r="Q94" s="1087"/>
      <c r="R94" s="213"/>
      <c r="S94" s="570">
        <v>1.1000000000000001</v>
      </c>
      <c r="T94" s="48">
        <f>S94*M94</f>
        <v>53482.000000000007</v>
      </c>
      <c r="U94" s="48"/>
      <c r="V94" s="48"/>
      <c r="W94" s="213"/>
      <c r="X94" s="570">
        <v>1.25</v>
      </c>
      <c r="Y94" s="48">
        <f>X94*M94</f>
        <v>60775</v>
      </c>
      <c r="Z94" s="48"/>
      <c r="AA94" s="48"/>
      <c r="AB94" s="213"/>
      <c r="AC94" s="570">
        <v>1.5</v>
      </c>
      <c r="AD94" s="48">
        <f>AC94*M94</f>
        <v>72930</v>
      </c>
      <c r="AE94" s="48"/>
      <c r="AF94" s="48"/>
      <c r="AG94" s="213"/>
      <c r="AH94" s="905">
        <f>_xlfn.PERCENTOF(M94,M176)</f>
        <v>4.1640616301676071E-2</v>
      </c>
      <c r="AI94" s="48"/>
      <c r="AJ94" s="515">
        <f>MROUND(M94,1000)</f>
        <v>49000</v>
      </c>
      <c r="AK94" s="48"/>
      <c r="AL94" s="213"/>
      <c r="AM94" s="48"/>
      <c r="AN94" s="546"/>
      <c r="AO94" s="48">
        <f>SUM(AO96:AO108)</f>
        <v>48620</v>
      </c>
      <c r="AP94" s="48"/>
      <c r="AQ94" s="515"/>
      <c r="AR94" s="48"/>
      <c r="AS94" s="170">
        <f>AO94-T94</f>
        <v>-4862.0000000000073</v>
      </c>
      <c r="AT94" s="48"/>
      <c r="AU94" s="8"/>
      <c r="AV94" s="8"/>
      <c r="AW94" s="48"/>
      <c r="AX94" s="48">
        <f>SUM(AX96:AX108)</f>
        <v>44900</v>
      </c>
      <c r="AY94" s="48"/>
      <c r="AZ94" s="213"/>
      <c r="BA94" s="185">
        <f>M94-AX94</f>
        <v>3720</v>
      </c>
      <c r="BB94" s="8"/>
      <c r="BC94" s="8"/>
      <c r="BD94" s="48"/>
      <c r="BE94" s="48">
        <f>SUM(BE96:BE108)</f>
        <v>41386</v>
      </c>
      <c r="BF94" s="48"/>
      <c r="BG94" s="213"/>
      <c r="BH94" s="185">
        <f>M94-BE94</f>
        <v>7234</v>
      </c>
      <c r="BI94" s="147"/>
      <c r="BJ94" s="146"/>
      <c r="BK94" s="6"/>
      <c r="BL94" s="8"/>
      <c r="BM94" s="31"/>
      <c r="BN94" s="135"/>
      <c r="BO94" s="6"/>
      <c r="BP94" s="8"/>
      <c r="BQ94" s="31"/>
      <c r="BR94" s="48"/>
      <c r="BS94" s="48"/>
      <c r="BT94" s="48">
        <f>SUM(BT96:BT108)</f>
        <v>46900</v>
      </c>
      <c r="BU94" s="31"/>
    </row>
    <row r="95" spans="1:73" ht="15.6">
      <c r="A95" s="817" t="s">
        <v>0</v>
      </c>
      <c r="B95" s="848"/>
      <c r="C95" s="760"/>
      <c r="D95" s="89" t="s">
        <v>377</v>
      </c>
      <c r="E95" s="69"/>
      <c r="F95" s="798"/>
      <c r="G95" s="798"/>
      <c r="H95" s="760"/>
      <c r="I95" s="760"/>
      <c r="J95" s="760"/>
      <c r="K95" s="791"/>
      <c r="L95" s="1107">
        <f>M95/$K$56</f>
        <v>41.37323943661972</v>
      </c>
      <c r="M95" s="800">
        <f>SUM(M96:M98)</f>
        <v>23500</v>
      </c>
      <c r="N95" s="1096"/>
      <c r="O95" s="1134">
        <f t="shared" si="13"/>
        <v>41.32922535211268</v>
      </c>
      <c r="P95" s="1134">
        <f>SUM(P96:P98)</f>
        <v>23475</v>
      </c>
      <c r="Q95" s="1096"/>
      <c r="R95" s="198"/>
      <c r="S95" s="580"/>
      <c r="T95" s="73">
        <f>S94*M95</f>
        <v>25850.000000000004</v>
      </c>
      <c r="U95" s="8"/>
      <c r="V95" s="8"/>
      <c r="W95" s="198"/>
      <c r="X95" s="580"/>
      <c r="Y95" s="73">
        <f>X94*M95</f>
        <v>29375</v>
      </c>
      <c r="Z95" s="8"/>
      <c r="AA95" s="8"/>
      <c r="AB95" s="198"/>
      <c r="AC95" s="580"/>
      <c r="AD95" s="73">
        <f>AC94*M95</f>
        <v>35250</v>
      </c>
      <c r="AE95" s="8"/>
      <c r="AF95" s="8"/>
      <c r="AG95" s="198"/>
      <c r="AH95" s="889"/>
      <c r="AI95" s="8"/>
      <c r="AJ95" s="515">
        <f>MROUND(M95,1000)</f>
        <v>24000</v>
      </c>
      <c r="AK95" s="8"/>
      <c r="AL95" s="198"/>
      <c r="AM95" s="8"/>
      <c r="AN95" s="534"/>
      <c r="AO95" s="73"/>
      <c r="AP95" s="73"/>
      <c r="AQ95" s="797"/>
      <c r="AR95" s="73"/>
      <c r="AS95" s="772"/>
      <c r="AT95" s="8"/>
      <c r="AU95" s="8"/>
      <c r="AV95" s="8"/>
      <c r="AW95" s="8"/>
      <c r="AX95" s="8"/>
      <c r="AY95" s="8"/>
      <c r="AZ95" s="198"/>
      <c r="BA95" s="790"/>
      <c r="BB95" s="8"/>
      <c r="BC95" s="8"/>
      <c r="BD95" s="8"/>
      <c r="BE95" s="8"/>
      <c r="BF95" s="8"/>
      <c r="BG95" s="198"/>
      <c r="BH95" s="790"/>
      <c r="BI95" s="778"/>
      <c r="BJ95" s="146"/>
      <c r="BK95" s="6"/>
      <c r="BL95" s="8"/>
      <c r="BM95" s="31"/>
      <c r="BN95" s="135"/>
      <c r="BO95" s="6"/>
      <c r="BP95" s="8"/>
      <c r="BQ95" s="31"/>
      <c r="BR95" s="8"/>
      <c r="BS95" s="8"/>
      <c r="BT95" s="8"/>
      <c r="BU95" s="31"/>
    </row>
    <row r="96" spans="1:73" ht="15.6">
      <c r="A96" s="817" t="s">
        <v>0</v>
      </c>
      <c r="B96" s="848" t="s">
        <v>306</v>
      </c>
      <c r="D96" s="6"/>
      <c r="E96" s="1" t="s">
        <v>331</v>
      </c>
      <c r="F96" s="6"/>
      <c r="G96" s="6"/>
      <c r="H96" s="6"/>
      <c r="I96" s="6"/>
      <c r="J96" s="26"/>
      <c r="K96" s="49"/>
      <c r="L96" s="50">
        <f>M96/$K$56</f>
        <v>26.408450704225352</v>
      </c>
      <c r="M96" s="801">
        <v>15000</v>
      </c>
      <c r="N96" s="1081"/>
      <c r="O96" s="1128">
        <f t="shared" si="13"/>
        <v>26.41725352112676</v>
      </c>
      <c r="P96" s="1128">
        <v>15005</v>
      </c>
      <c r="Q96" s="1081"/>
      <c r="R96" s="207"/>
      <c r="S96" s="562"/>
      <c r="T96" s="25">
        <f>S94*M96</f>
        <v>16500</v>
      </c>
      <c r="U96" s="25"/>
      <c r="V96" s="25"/>
      <c r="W96" s="207"/>
      <c r="X96" s="25"/>
      <c r="Y96" s="25">
        <f>X94*M96</f>
        <v>18750</v>
      </c>
      <c r="Z96" s="25"/>
      <c r="AA96" s="25"/>
      <c r="AB96" s="207"/>
      <c r="AC96" s="25"/>
      <c r="AD96" s="25">
        <f>AC94*M96</f>
        <v>22500</v>
      </c>
      <c r="AE96" s="25"/>
      <c r="AF96" s="25"/>
      <c r="AG96" s="207"/>
      <c r="AH96" s="893"/>
      <c r="AI96" s="25"/>
      <c r="AJ96" s="180"/>
      <c r="AK96" s="25"/>
      <c r="AL96" s="207"/>
      <c r="AM96" s="25"/>
      <c r="AN96" s="541"/>
      <c r="AO96" s="600">
        <v>15000</v>
      </c>
      <c r="AP96" s="600"/>
      <c r="AQ96" s="601" t="s">
        <v>163</v>
      </c>
      <c r="AR96" s="600"/>
      <c r="AS96" s="596">
        <f>AO96-T96</f>
        <v>-1500</v>
      </c>
      <c r="AT96" s="25"/>
      <c r="AU96" s="25"/>
      <c r="AV96" s="25"/>
      <c r="AW96" s="25"/>
      <c r="AX96" s="25">
        <v>15000</v>
      </c>
      <c r="AY96" s="25"/>
      <c r="AZ96" s="207"/>
      <c r="BA96" s="180"/>
      <c r="BB96" s="25"/>
      <c r="BC96" s="25"/>
      <c r="BD96" s="25"/>
      <c r="BE96" s="25">
        <v>11303</v>
      </c>
      <c r="BF96" s="25"/>
      <c r="BG96" s="207"/>
      <c r="BH96" s="180"/>
      <c r="BI96" s="148"/>
      <c r="BJ96" s="49"/>
      <c r="BK96" s="50"/>
      <c r="BL96" s="25"/>
      <c r="BM96" s="31"/>
      <c r="BN96" s="49"/>
      <c r="BO96" s="50"/>
      <c r="BP96" s="25"/>
      <c r="BQ96" s="31"/>
      <c r="BR96" s="50"/>
      <c r="BS96" s="110">
        <f>BT96/BR$55</f>
        <v>20.718232044198896</v>
      </c>
      <c r="BT96" s="25">
        <v>15000</v>
      </c>
      <c r="BU96" s="31"/>
    </row>
    <row r="97" spans="1:73" ht="15.6">
      <c r="A97" s="817" t="s">
        <v>0</v>
      </c>
      <c r="B97" s="848" t="s">
        <v>314</v>
      </c>
      <c r="D97" s="6"/>
      <c r="E97" s="1" t="s">
        <v>330</v>
      </c>
      <c r="F97" s="6"/>
      <c r="G97" s="6"/>
      <c r="H97" s="6"/>
      <c r="I97" s="6"/>
      <c r="J97" s="26"/>
      <c r="K97" s="49"/>
      <c r="L97" s="50">
        <f>M97/$K$56</f>
        <v>8.8028169014084501</v>
      </c>
      <c r="M97" s="801">
        <v>5000</v>
      </c>
      <c r="N97" s="1081"/>
      <c r="O97" s="1128">
        <f t="shared" si="13"/>
        <v>8.8028169014084501</v>
      </c>
      <c r="P97" s="1128">
        <v>5000</v>
      </c>
      <c r="Q97" s="1081"/>
      <c r="R97" s="207"/>
      <c r="S97" s="562"/>
      <c r="T97" s="25">
        <f>S94*M97</f>
        <v>5500</v>
      </c>
      <c r="U97" s="25"/>
      <c r="V97" s="25"/>
      <c r="W97" s="207"/>
      <c r="X97" s="25"/>
      <c r="Y97" s="25">
        <f>X94*M97</f>
        <v>6250</v>
      </c>
      <c r="Z97" s="25"/>
      <c r="AA97" s="25"/>
      <c r="AB97" s="207"/>
      <c r="AC97" s="25"/>
      <c r="AD97" s="25">
        <f>AC94*M97</f>
        <v>7500</v>
      </c>
      <c r="AE97" s="25"/>
      <c r="AF97" s="25"/>
      <c r="AG97" s="207"/>
      <c r="AH97" s="893"/>
      <c r="AI97" s="25"/>
      <c r="AJ97" s="180"/>
      <c r="AK97" s="25"/>
      <c r="AL97" s="207"/>
      <c r="AM97" s="25"/>
      <c r="AN97" s="541"/>
      <c r="AO97" s="600">
        <v>5000</v>
      </c>
      <c r="AP97" s="600"/>
      <c r="AQ97" s="601" t="s">
        <v>163</v>
      </c>
      <c r="AR97" s="600"/>
      <c r="AS97" s="596">
        <f>AO97-T97</f>
        <v>-500</v>
      </c>
      <c r="AT97" s="25"/>
      <c r="AU97" s="25"/>
      <c r="AV97" s="25"/>
      <c r="AW97" s="25"/>
      <c r="AX97" s="25">
        <v>5000</v>
      </c>
      <c r="AY97" s="25"/>
      <c r="AZ97" s="207"/>
      <c r="BA97" s="180"/>
      <c r="BB97" s="25"/>
      <c r="BC97" s="25"/>
      <c r="BD97" s="25"/>
      <c r="BE97" s="25">
        <v>5050</v>
      </c>
      <c r="BF97" s="25"/>
      <c r="BG97" s="207"/>
      <c r="BH97" s="180"/>
      <c r="BI97" s="148"/>
      <c r="BJ97" s="49"/>
      <c r="BK97" s="50"/>
      <c r="BL97" s="25"/>
      <c r="BM97" s="31"/>
      <c r="BN97" s="49"/>
      <c r="BO97" s="136"/>
      <c r="BP97" s="25"/>
      <c r="BQ97" s="31"/>
      <c r="BR97" s="50"/>
      <c r="BS97" s="110">
        <f t="shared" ref="BS97:BS108" si="16">BT97/BR$55</f>
        <v>6.9060773480662982</v>
      </c>
      <c r="BT97" s="25">
        <v>5000</v>
      </c>
      <c r="BU97" s="31"/>
    </row>
    <row r="98" spans="1:73" ht="15.6">
      <c r="A98" s="817" t="s">
        <v>0</v>
      </c>
      <c r="B98" s="848" t="s">
        <v>315</v>
      </c>
      <c r="D98" s="6"/>
      <c r="E98" s="1" t="s">
        <v>329</v>
      </c>
      <c r="F98" s="6"/>
      <c r="G98" s="6"/>
      <c r="H98" s="6"/>
      <c r="I98" s="6"/>
      <c r="J98" s="26"/>
      <c r="K98" s="49"/>
      <c r="L98" s="50">
        <f>M98/$K$56</f>
        <v>6.1619718309859151</v>
      </c>
      <c r="M98" s="801">
        <v>3500</v>
      </c>
      <c r="N98" s="1081"/>
      <c r="O98" s="1128">
        <f t="shared" si="13"/>
        <v>6.109154929577465</v>
      </c>
      <c r="P98" s="1128">
        <v>3470</v>
      </c>
      <c r="Q98" s="1081"/>
      <c r="R98" s="207"/>
      <c r="S98" s="562"/>
      <c r="T98" s="25">
        <f>S94*M98</f>
        <v>3850.0000000000005</v>
      </c>
      <c r="U98" s="25"/>
      <c r="V98" s="25"/>
      <c r="W98" s="207"/>
      <c r="X98" s="25"/>
      <c r="Y98" s="25">
        <f>X94*M98</f>
        <v>4375</v>
      </c>
      <c r="Z98" s="25"/>
      <c r="AA98" s="25"/>
      <c r="AB98" s="207"/>
      <c r="AC98" s="25"/>
      <c r="AD98" s="25">
        <f>AC94*M98</f>
        <v>5250</v>
      </c>
      <c r="AE98" s="25"/>
      <c r="AF98" s="25"/>
      <c r="AG98" s="207"/>
      <c r="AH98" s="893"/>
      <c r="AI98" s="25"/>
      <c r="AJ98" s="180"/>
      <c r="AK98" s="25"/>
      <c r="AL98" s="207"/>
      <c r="AM98" s="25"/>
      <c r="AN98" s="541"/>
      <c r="AO98" s="600">
        <v>3500</v>
      </c>
      <c r="AP98" s="600"/>
      <c r="AQ98" s="601" t="s">
        <v>163</v>
      </c>
      <c r="AR98" s="600"/>
      <c r="AS98" s="596">
        <f>AO98-T98</f>
        <v>-350.00000000000045</v>
      </c>
      <c r="AT98" s="25"/>
      <c r="AU98" s="25"/>
      <c r="AV98" s="25"/>
      <c r="AW98" s="25"/>
      <c r="AX98" s="25">
        <v>0</v>
      </c>
      <c r="AY98" s="25"/>
      <c r="AZ98" s="207"/>
      <c r="BA98" s="180"/>
      <c r="BB98" s="25"/>
      <c r="BC98" s="25"/>
      <c r="BD98" s="25"/>
      <c r="BE98" s="25">
        <v>0</v>
      </c>
      <c r="BF98" s="25"/>
      <c r="BG98" s="207"/>
      <c r="BH98" s="180"/>
      <c r="BI98" s="148"/>
      <c r="BJ98" s="49"/>
      <c r="BK98" s="50"/>
      <c r="BL98" s="25"/>
      <c r="BM98" s="31"/>
      <c r="BN98" s="49"/>
      <c r="BO98" s="50"/>
      <c r="BP98" s="25"/>
      <c r="BQ98" s="31"/>
      <c r="BR98" s="50"/>
      <c r="BS98" s="110">
        <f t="shared" si="16"/>
        <v>2.7624309392265194</v>
      </c>
      <c r="BT98" s="25">
        <v>2000</v>
      </c>
      <c r="BU98" s="31"/>
    </row>
    <row r="99" spans="1:73" ht="15.6">
      <c r="B99" s="848"/>
      <c r="D99" s="6"/>
      <c r="E99" s="1"/>
      <c r="F99" s="6"/>
      <c r="G99" s="6"/>
      <c r="H99" s="6"/>
      <c r="I99" s="6"/>
      <c r="J99" s="26"/>
      <c r="K99" s="49"/>
      <c r="L99" s="50"/>
      <c r="M99" s="801"/>
      <c r="N99" s="1081"/>
      <c r="O99" s="1128" t="s">
        <v>0</v>
      </c>
      <c r="P99" s="1128"/>
      <c r="Q99" s="1081"/>
      <c r="R99" s="207"/>
      <c r="S99" s="562"/>
      <c r="T99" s="25"/>
      <c r="U99" s="25"/>
      <c r="V99" s="25"/>
      <c r="W99" s="207"/>
      <c r="X99" s="25"/>
      <c r="Y99" s="25"/>
      <c r="Z99" s="25"/>
      <c r="AA99" s="25"/>
      <c r="AB99" s="207"/>
      <c r="AC99" s="25"/>
      <c r="AD99" s="25"/>
      <c r="AE99" s="25"/>
      <c r="AF99" s="25"/>
      <c r="AG99" s="207"/>
      <c r="AH99" s="893"/>
      <c r="AI99" s="25"/>
      <c r="AJ99" s="180"/>
      <c r="AK99" s="25"/>
      <c r="AL99" s="207"/>
      <c r="AM99" s="25"/>
      <c r="AN99" s="541"/>
      <c r="AO99" s="600"/>
      <c r="AP99" s="600"/>
      <c r="AQ99" s="601"/>
      <c r="AR99" s="600"/>
      <c r="AS99" s="596"/>
      <c r="AT99" s="25"/>
      <c r="AU99" s="25"/>
      <c r="AV99" s="25"/>
      <c r="AW99" s="25"/>
      <c r="AX99" s="25"/>
      <c r="AY99" s="25"/>
      <c r="AZ99" s="207"/>
      <c r="BA99" s="180"/>
      <c r="BB99" s="25"/>
      <c r="BC99" s="25"/>
      <c r="BD99" s="25"/>
      <c r="BE99" s="25"/>
      <c r="BF99" s="25"/>
      <c r="BG99" s="207"/>
      <c r="BH99" s="180"/>
      <c r="BI99" s="148"/>
      <c r="BJ99" s="49"/>
      <c r="BK99" s="50"/>
      <c r="BL99" s="25"/>
      <c r="BM99" s="31"/>
      <c r="BN99" s="49"/>
      <c r="BO99" s="50"/>
      <c r="BP99" s="25"/>
      <c r="BQ99" s="31"/>
      <c r="BR99" s="50"/>
      <c r="BS99" s="110"/>
      <c r="BT99" s="25"/>
      <c r="BU99" s="31"/>
    </row>
    <row r="100" spans="1:73" ht="15.6">
      <c r="A100" s="816"/>
      <c r="B100" s="848"/>
      <c r="D100" s="89" t="s">
        <v>378</v>
      </c>
      <c r="E100" s="74"/>
      <c r="F100" s="72"/>
      <c r="G100" s="72"/>
      <c r="H100" s="6"/>
      <c r="I100" s="6"/>
      <c r="J100" s="26"/>
      <c r="K100" s="799"/>
      <c r="L100" s="1107">
        <f>M100/$K$56</f>
        <v>10.633802816901408</v>
      </c>
      <c r="M100" s="800">
        <f>SUM(M101:M103)</f>
        <v>6040</v>
      </c>
      <c r="N100" s="1096"/>
      <c r="O100" s="1134">
        <f t="shared" si="13"/>
        <v>10.63556338028169</v>
      </c>
      <c r="P100" s="1134">
        <f>SUM(P101:P103)</f>
        <v>6041</v>
      </c>
      <c r="Q100" s="1096"/>
      <c r="R100" s="207"/>
      <c r="S100" s="577"/>
      <c r="T100" s="73">
        <f>S94*M100</f>
        <v>6644.0000000000009</v>
      </c>
      <c r="U100" s="25"/>
      <c r="V100" s="25"/>
      <c r="W100" s="207"/>
      <c r="X100" s="779"/>
      <c r="Y100" s="73">
        <f>X94*M100</f>
        <v>7550</v>
      </c>
      <c r="Z100" s="8"/>
      <c r="AA100" s="8"/>
      <c r="AB100" s="198"/>
      <c r="AC100" s="580"/>
      <c r="AD100" s="73">
        <f>AC94*M100</f>
        <v>9060</v>
      </c>
      <c r="AE100" s="25"/>
      <c r="AF100" s="25"/>
      <c r="AG100" s="207"/>
      <c r="AH100" s="893"/>
      <c r="AI100" s="25"/>
      <c r="AJ100" s="515">
        <f>MROUND(M100,1000)</f>
        <v>6000</v>
      </c>
      <c r="AK100" s="25"/>
      <c r="AL100" s="207"/>
      <c r="AM100" s="25"/>
      <c r="AN100" s="541"/>
      <c r="AO100" s="600"/>
      <c r="AP100" s="600"/>
      <c r="AQ100" s="601"/>
      <c r="AR100" s="600"/>
      <c r="AS100" s="596"/>
      <c r="AT100" s="25"/>
      <c r="AU100" s="25"/>
      <c r="AV100" s="25"/>
      <c r="AW100" s="25"/>
      <c r="AX100" s="25"/>
      <c r="AY100" s="25"/>
      <c r="AZ100" s="207"/>
      <c r="BA100" s="180"/>
      <c r="BB100" s="25"/>
      <c r="BC100" s="25"/>
      <c r="BD100" s="25"/>
      <c r="BE100" s="25"/>
      <c r="BF100" s="25"/>
      <c r="BG100" s="207"/>
      <c r="BH100" s="180"/>
      <c r="BI100" s="148"/>
      <c r="BJ100" s="49"/>
      <c r="BK100" s="50"/>
      <c r="BL100" s="25"/>
      <c r="BM100" s="31"/>
      <c r="BN100" s="49"/>
      <c r="BO100" s="50"/>
      <c r="BP100" s="25"/>
      <c r="BQ100" s="31"/>
      <c r="BR100" s="50"/>
      <c r="BS100" s="110"/>
      <c r="BT100" s="25"/>
      <c r="BU100" s="31"/>
    </row>
    <row r="101" spans="1:73" ht="15.6">
      <c r="A101" s="816"/>
      <c r="B101" s="848" t="s">
        <v>316</v>
      </c>
      <c r="D101" s="11"/>
      <c r="E101" s="1216" t="s">
        <v>328</v>
      </c>
      <c r="F101" s="11"/>
      <c r="G101" s="11"/>
      <c r="H101" s="11"/>
      <c r="I101" s="11"/>
      <c r="J101" s="26"/>
      <c r="K101" s="49"/>
      <c r="L101" s="50">
        <f>M101/$K$56</f>
        <v>3.9788732394366195</v>
      </c>
      <c r="M101" s="801">
        <v>2260</v>
      </c>
      <c r="N101" s="1081"/>
      <c r="O101" s="1128">
        <f t="shared" si="13"/>
        <v>3.9806338028169015</v>
      </c>
      <c r="P101" s="1128">
        <v>2261</v>
      </c>
      <c r="Q101" s="1081"/>
      <c r="R101" s="207"/>
      <c r="S101" s="562"/>
      <c r="T101" s="25">
        <f>S94*M101</f>
        <v>2486</v>
      </c>
      <c r="U101" s="25"/>
      <c r="V101" s="25"/>
      <c r="W101" s="207"/>
      <c r="X101" s="25"/>
      <c r="Y101" s="25">
        <f>X94*M101</f>
        <v>2825</v>
      </c>
      <c r="Z101" s="25"/>
      <c r="AA101" s="25"/>
      <c r="AB101" s="207"/>
      <c r="AC101" s="25"/>
      <c r="AD101" s="25">
        <f>AC94*M101</f>
        <v>3390</v>
      </c>
      <c r="AE101" s="25"/>
      <c r="AF101" s="25"/>
      <c r="AG101" s="207"/>
      <c r="AH101" s="893"/>
      <c r="AI101" s="25"/>
      <c r="AJ101" s="180"/>
      <c r="AK101" s="25"/>
      <c r="AL101" s="207"/>
      <c r="AM101" s="25"/>
      <c r="AN101" s="541"/>
      <c r="AO101" s="600">
        <v>2260</v>
      </c>
      <c r="AP101" s="600"/>
      <c r="AQ101" s="601" t="s">
        <v>163</v>
      </c>
      <c r="AR101" s="600"/>
      <c r="AS101" s="596">
        <f>AO101-T101</f>
        <v>-226</v>
      </c>
      <c r="AT101" s="25"/>
      <c r="AU101" s="25"/>
      <c r="AV101" s="25"/>
      <c r="AW101" s="25"/>
      <c r="AX101" s="25">
        <v>2300</v>
      </c>
      <c r="AY101" s="25"/>
      <c r="AZ101" s="207"/>
      <c r="BA101" s="180"/>
      <c r="BB101" s="25"/>
      <c r="BC101" s="25"/>
      <c r="BD101" s="25"/>
      <c r="BE101" s="25">
        <v>2186</v>
      </c>
      <c r="BF101" s="25"/>
      <c r="BG101" s="207"/>
      <c r="BH101" s="180"/>
      <c r="BI101" s="148"/>
      <c r="BJ101" s="49"/>
      <c r="BK101" s="50"/>
      <c r="BL101" s="25"/>
      <c r="BM101" s="31"/>
      <c r="BN101" s="49"/>
      <c r="BO101" s="50"/>
      <c r="BP101" s="25"/>
      <c r="BQ101" s="31"/>
      <c r="BR101" s="50"/>
      <c r="BS101" s="110">
        <f t="shared" si="16"/>
        <v>3.1767955801104972</v>
      </c>
      <c r="BT101" s="25">
        <v>2300</v>
      </c>
      <c r="BU101" s="31"/>
    </row>
    <row r="102" spans="1:73" ht="15.6">
      <c r="A102" s="816"/>
      <c r="B102" s="848" t="s">
        <v>317</v>
      </c>
      <c r="D102" s="11"/>
      <c r="E102" s="1" t="s">
        <v>327</v>
      </c>
      <c r="F102" s="11"/>
      <c r="G102" s="11"/>
      <c r="H102" s="11"/>
      <c r="I102" s="11"/>
      <c r="J102" s="26"/>
      <c r="K102" s="49"/>
      <c r="L102" s="50">
        <f>M102/$K$56</f>
        <v>1.8133802816901408</v>
      </c>
      <c r="M102" s="801">
        <v>1030</v>
      </c>
      <c r="N102" s="1081"/>
      <c r="O102" s="1128">
        <f t="shared" si="13"/>
        <v>1.8133802816901408</v>
      </c>
      <c r="P102" s="1128">
        <v>1030</v>
      </c>
      <c r="Q102" s="1081"/>
      <c r="R102" s="207"/>
      <c r="S102" s="562"/>
      <c r="T102" s="25">
        <f>S94*M102</f>
        <v>1133</v>
      </c>
      <c r="U102" s="25"/>
      <c r="V102" s="25"/>
      <c r="W102" s="207"/>
      <c r="X102" s="25"/>
      <c r="Y102" s="25">
        <f>X94*M102</f>
        <v>1287.5</v>
      </c>
      <c r="Z102" s="25"/>
      <c r="AA102" s="25"/>
      <c r="AB102" s="207"/>
      <c r="AC102" s="25"/>
      <c r="AD102" s="25">
        <f>AC94*M102</f>
        <v>1545</v>
      </c>
      <c r="AE102" s="25"/>
      <c r="AF102" s="25"/>
      <c r="AG102" s="207"/>
      <c r="AH102" s="893"/>
      <c r="AI102" s="25"/>
      <c r="AJ102" s="180"/>
      <c r="AK102" s="25"/>
      <c r="AL102" s="207"/>
      <c r="AM102" s="25"/>
      <c r="AN102" s="541"/>
      <c r="AO102" s="600">
        <v>1030</v>
      </c>
      <c r="AP102" s="600"/>
      <c r="AQ102" s="601" t="s">
        <v>163</v>
      </c>
      <c r="AR102" s="600"/>
      <c r="AS102" s="596">
        <f>AO102-T102</f>
        <v>-103</v>
      </c>
      <c r="AT102" s="25"/>
      <c r="AU102" s="25"/>
      <c r="AV102" s="25"/>
      <c r="AW102" s="25"/>
      <c r="AX102" s="25">
        <v>1200</v>
      </c>
      <c r="AY102" s="25"/>
      <c r="AZ102" s="207"/>
      <c r="BA102" s="180"/>
      <c r="BB102" s="25"/>
      <c r="BC102" s="25"/>
      <c r="BD102" s="25"/>
      <c r="BE102" s="25">
        <v>1101</v>
      </c>
      <c r="BF102" s="25"/>
      <c r="BG102" s="207"/>
      <c r="BH102" s="180"/>
      <c r="BI102" s="148"/>
      <c r="BJ102" s="49"/>
      <c r="BK102" s="50"/>
      <c r="BL102" s="25"/>
      <c r="BM102" s="31"/>
      <c r="BN102" s="49"/>
      <c r="BO102" s="50"/>
      <c r="BP102" s="25"/>
      <c r="BQ102" s="31"/>
      <c r="BR102" s="50"/>
      <c r="BS102" s="110">
        <f t="shared" si="16"/>
        <v>1.6574585635359116</v>
      </c>
      <c r="BT102" s="25">
        <v>1200</v>
      </c>
      <c r="BU102" s="31"/>
    </row>
    <row r="103" spans="1:73" ht="15.6">
      <c r="A103" s="816"/>
      <c r="B103" s="848" t="s">
        <v>318</v>
      </c>
      <c r="D103" s="11"/>
      <c r="E103" s="1" t="s">
        <v>376</v>
      </c>
      <c r="F103" s="11"/>
      <c r="G103" s="11"/>
      <c r="H103" s="11"/>
      <c r="I103" s="11"/>
      <c r="J103" s="26"/>
      <c r="K103" s="49"/>
      <c r="L103" s="50">
        <f>M103/$K$56</f>
        <v>4.841549295774648</v>
      </c>
      <c r="M103" s="801">
        <v>2750</v>
      </c>
      <c r="N103" s="1081"/>
      <c r="O103" s="1128">
        <f t="shared" si="13"/>
        <v>4.841549295774648</v>
      </c>
      <c r="P103" s="1128">
        <v>2750</v>
      </c>
      <c r="Q103" s="1081"/>
      <c r="R103" s="207"/>
      <c r="S103" s="562"/>
      <c r="T103" s="25">
        <f>S94*M103</f>
        <v>3025.0000000000005</v>
      </c>
      <c r="U103" s="25"/>
      <c r="V103" s="25"/>
      <c r="W103" s="207"/>
      <c r="X103" s="25"/>
      <c r="Y103" s="25">
        <f>X94*M103</f>
        <v>3437.5</v>
      </c>
      <c r="Z103" s="25"/>
      <c r="AA103" s="25"/>
      <c r="AB103" s="207"/>
      <c r="AC103" s="25"/>
      <c r="AD103" s="25">
        <f>AC94*M103</f>
        <v>4125</v>
      </c>
      <c r="AE103" s="25"/>
      <c r="AF103" s="25"/>
      <c r="AG103" s="207"/>
      <c r="AH103" s="893"/>
      <c r="AI103" s="25"/>
      <c r="AJ103" s="180"/>
      <c r="AK103" s="25"/>
      <c r="AL103" s="207"/>
      <c r="AM103" s="25"/>
      <c r="AN103" s="541"/>
      <c r="AO103" s="600">
        <v>2750</v>
      </c>
      <c r="AP103" s="600"/>
      <c r="AQ103" s="601" t="s">
        <v>163</v>
      </c>
      <c r="AR103" s="600"/>
      <c r="AS103" s="596">
        <f>AO103-T103</f>
        <v>-275.00000000000045</v>
      </c>
      <c r="AT103" s="25"/>
      <c r="AU103" s="25"/>
      <c r="AV103" s="25"/>
      <c r="AW103" s="25"/>
      <c r="AX103" s="25">
        <v>2800</v>
      </c>
      <c r="AY103" s="25"/>
      <c r="AZ103" s="207"/>
      <c r="BA103" s="180"/>
      <c r="BB103" s="25"/>
      <c r="BC103" s="25"/>
      <c r="BD103" s="25"/>
      <c r="BE103" s="25">
        <v>2807</v>
      </c>
      <c r="BF103" s="25"/>
      <c r="BG103" s="207"/>
      <c r="BH103" s="180"/>
      <c r="BI103" s="148"/>
      <c r="BJ103" s="49"/>
      <c r="BK103" s="50"/>
      <c r="BL103" s="25"/>
      <c r="BM103" s="31"/>
      <c r="BN103" s="49"/>
      <c r="BO103" s="50"/>
      <c r="BP103" s="25"/>
      <c r="BQ103" s="31"/>
      <c r="BR103" s="50"/>
      <c r="BS103" s="110">
        <f t="shared" si="16"/>
        <v>3.867403314917127</v>
      </c>
      <c r="BT103" s="25">
        <v>2800</v>
      </c>
      <c r="BU103" s="31"/>
    </row>
    <row r="104" spans="1:73" ht="15.6">
      <c r="B104" s="848"/>
      <c r="D104" s="11"/>
      <c r="E104" s="1"/>
      <c r="F104" s="11"/>
      <c r="G104" s="11"/>
      <c r="H104" s="11"/>
      <c r="I104" s="11"/>
      <c r="J104" s="26"/>
      <c r="K104" s="49"/>
      <c r="L104" s="50"/>
      <c r="M104" s="801"/>
      <c r="N104" s="1081"/>
      <c r="O104" s="1128" t="s">
        <v>0</v>
      </c>
      <c r="P104" s="1128"/>
      <c r="Q104" s="1081"/>
      <c r="R104" s="207"/>
      <c r="S104" s="562"/>
      <c r="T104" s="25"/>
      <c r="U104" s="25"/>
      <c r="V104" s="25"/>
      <c r="W104" s="207"/>
      <c r="X104" s="25"/>
      <c r="Y104" s="25"/>
      <c r="Z104" s="25"/>
      <c r="AA104" s="25"/>
      <c r="AB104" s="207"/>
      <c r="AC104" s="25"/>
      <c r="AD104" s="25"/>
      <c r="AE104" s="25"/>
      <c r="AF104" s="25"/>
      <c r="AG104" s="207"/>
      <c r="AH104" s="893"/>
      <c r="AI104" s="25"/>
      <c r="AJ104" s="180"/>
      <c r="AK104" s="25"/>
      <c r="AL104" s="207"/>
      <c r="AM104" s="25"/>
      <c r="AN104" s="541"/>
      <c r="AO104" s="600"/>
      <c r="AP104" s="600"/>
      <c r="AQ104" s="601"/>
      <c r="AR104" s="600"/>
      <c r="AS104" s="596"/>
      <c r="AT104" s="25"/>
      <c r="AU104" s="25"/>
      <c r="AV104" s="25"/>
      <c r="AW104" s="25"/>
      <c r="AX104" s="25"/>
      <c r="AY104" s="25"/>
      <c r="AZ104" s="207"/>
      <c r="BA104" s="180"/>
      <c r="BB104" s="25"/>
      <c r="BC104" s="25"/>
      <c r="BD104" s="25"/>
      <c r="BE104" s="25"/>
      <c r="BF104" s="25"/>
      <c r="BG104" s="207"/>
      <c r="BH104" s="180"/>
      <c r="BI104" s="148"/>
      <c r="BJ104" s="49"/>
      <c r="BK104" s="50"/>
      <c r="BL104" s="25"/>
      <c r="BM104" s="31"/>
      <c r="BN104" s="49"/>
      <c r="BO104" s="50"/>
      <c r="BP104" s="25"/>
      <c r="BQ104" s="31"/>
      <c r="BR104" s="50"/>
      <c r="BS104" s="110"/>
      <c r="BT104" s="25"/>
      <c r="BU104" s="31"/>
    </row>
    <row r="105" spans="1:73" ht="15.6">
      <c r="A105" s="816"/>
      <c r="B105" s="848"/>
      <c r="D105" s="89" t="s">
        <v>382</v>
      </c>
      <c r="E105" s="74"/>
      <c r="F105" s="75"/>
      <c r="G105" s="75"/>
      <c r="H105" s="11"/>
      <c r="I105" s="11"/>
      <c r="J105" s="26"/>
      <c r="K105" s="799"/>
      <c r="L105" s="1107">
        <f>M105/$K$56</f>
        <v>33.591549295774648</v>
      </c>
      <c r="M105" s="800">
        <f>SUM(M106:M109)</f>
        <v>19080</v>
      </c>
      <c r="N105" s="1096"/>
      <c r="O105" s="1134">
        <f t="shared" si="13"/>
        <v>39.591549295774648</v>
      </c>
      <c r="P105" s="1134">
        <f>SUM(P106:P109)</f>
        <v>22488</v>
      </c>
      <c r="Q105" s="1096"/>
      <c r="R105" s="207"/>
      <c r="S105" s="577"/>
      <c r="T105" s="73">
        <f>S94*M105</f>
        <v>20988</v>
      </c>
      <c r="U105" s="25"/>
      <c r="V105" s="25"/>
      <c r="W105" s="207"/>
      <c r="X105" s="779"/>
      <c r="Y105" s="73">
        <f>X94*M105</f>
        <v>23850</v>
      </c>
      <c r="Z105" s="8"/>
      <c r="AA105" s="8"/>
      <c r="AB105" s="198"/>
      <c r="AC105" s="580"/>
      <c r="AD105" s="73">
        <f>AC94*M105</f>
        <v>28620</v>
      </c>
      <c r="AE105" s="25"/>
      <c r="AF105" s="25"/>
      <c r="AG105" s="207"/>
      <c r="AH105" s="893"/>
      <c r="AI105" s="25"/>
      <c r="AJ105" s="515">
        <f>MROUND(M105,1000)</f>
        <v>19000</v>
      </c>
      <c r="AK105" s="25"/>
      <c r="AL105" s="207"/>
      <c r="AM105" s="25"/>
      <c r="AN105" s="541"/>
      <c r="AO105" s="600"/>
      <c r="AP105" s="600"/>
      <c r="AQ105" s="601"/>
      <c r="AR105" s="600"/>
      <c r="AS105" s="596"/>
      <c r="AT105" s="25"/>
      <c r="AU105" s="25"/>
      <c r="AV105" s="25"/>
      <c r="AW105" s="25"/>
      <c r="AX105" s="25"/>
      <c r="AY105" s="25"/>
      <c r="AZ105" s="207"/>
      <c r="BA105" s="180"/>
      <c r="BB105" s="25"/>
      <c r="BC105" s="25"/>
      <c r="BD105" s="25"/>
      <c r="BE105" s="25"/>
      <c r="BF105" s="25"/>
      <c r="BG105" s="207"/>
      <c r="BH105" s="180"/>
      <c r="BI105" s="148"/>
      <c r="BJ105" s="49"/>
      <c r="BK105" s="50"/>
      <c r="BL105" s="25"/>
      <c r="BM105" s="31"/>
      <c r="BN105" s="49"/>
      <c r="BO105" s="50"/>
      <c r="BP105" s="25"/>
      <c r="BQ105" s="31"/>
      <c r="BR105" s="50"/>
      <c r="BS105" s="110"/>
      <c r="BT105" s="25"/>
      <c r="BU105" s="31"/>
    </row>
    <row r="106" spans="1:73" ht="15.6">
      <c r="A106" s="816"/>
      <c r="B106" s="848" t="s">
        <v>319</v>
      </c>
      <c r="D106" s="11"/>
      <c r="E106" s="1" t="s">
        <v>326</v>
      </c>
      <c r="F106" s="11"/>
      <c r="G106" s="11"/>
      <c r="H106" s="11"/>
      <c r="I106" s="11"/>
      <c r="J106" s="26"/>
      <c r="K106" s="49"/>
      <c r="L106" s="50">
        <f>M106/$K$56</f>
        <v>1.3732394366197183</v>
      </c>
      <c r="M106" s="801">
        <v>780</v>
      </c>
      <c r="N106" s="1081"/>
      <c r="O106" s="1128">
        <f t="shared" si="13"/>
        <v>1.3732394366197183</v>
      </c>
      <c r="P106" s="1128">
        <v>780</v>
      </c>
      <c r="Q106" s="1081"/>
      <c r="R106" s="207"/>
      <c r="S106" s="562"/>
      <c r="T106" s="25">
        <f>S94*M106</f>
        <v>858.00000000000011</v>
      </c>
      <c r="U106" s="25"/>
      <c r="V106" s="25"/>
      <c r="W106" s="207"/>
      <c r="X106" s="25"/>
      <c r="Y106" s="25">
        <f>X94*M106</f>
        <v>975</v>
      </c>
      <c r="Z106" s="25"/>
      <c r="AA106" s="25"/>
      <c r="AB106" s="207"/>
      <c r="AC106" s="25"/>
      <c r="AD106" s="25">
        <f>AC94*M106</f>
        <v>1170</v>
      </c>
      <c r="AE106" s="25"/>
      <c r="AF106" s="25"/>
      <c r="AG106" s="207"/>
      <c r="AH106" s="893"/>
      <c r="AI106" s="25"/>
      <c r="AJ106" s="180"/>
      <c r="AK106" s="25"/>
      <c r="AL106" s="207"/>
      <c r="AM106" s="25"/>
      <c r="AN106" s="541"/>
      <c r="AO106" s="600">
        <v>780</v>
      </c>
      <c r="AP106" s="600"/>
      <c r="AQ106" s="601" t="s">
        <v>163</v>
      </c>
      <c r="AR106" s="600"/>
      <c r="AS106" s="596">
        <f>AO106-T106</f>
        <v>-78.000000000000114</v>
      </c>
      <c r="AT106" s="25"/>
      <c r="AU106" s="25"/>
      <c r="AV106" s="25"/>
      <c r="AW106" s="25"/>
      <c r="AX106" s="25">
        <v>1800</v>
      </c>
      <c r="AY106" s="25"/>
      <c r="AZ106" s="207"/>
      <c r="BA106" s="180"/>
      <c r="BB106" s="25"/>
      <c r="BC106" s="25"/>
      <c r="BD106" s="25"/>
      <c r="BE106" s="25">
        <v>3992</v>
      </c>
      <c r="BF106" s="25"/>
      <c r="BG106" s="207"/>
      <c r="BH106" s="180"/>
      <c r="BI106" s="148"/>
      <c r="BJ106" s="49"/>
      <c r="BK106" s="50"/>
      <c r="BL106" s="25"/>
      <c r="BN106" s="49"/>
      <c r="BO106" s="50"/>
      <c r="BP106" s="25"/>
      <c r="BR106" s="25"/>
      <c r="BS106" s="110">
        <f t="shared" si="16"/>
        <v>2.4861878453038675</v>
      </c>
      <c r="BT106" s="25">
        <v>1800</v>
      </c>
    </row>
    <row r="107" spans="1:73" ht="15.6">
      <c r="A107" s="816"/>
      <c r="B107" s="848" t="s">
        <v>320</v>
      </c>
      <c r="D107" s="11"/>
      <c r="E107" s="1216" t="s">
        <v>325</v>
      </c>
      <c r="F107" s="11"/>
      <c r="G107" s="11"/>
      <c r="H107" s="11"/>
      <c r="I107" s="11"/>
      <c r="J107" s="26"/>
      <c r="K107" s="49"/>
      <c r="L107" s="1080">
        <f>M107/$K$56</f>
        <v>29.929577464788732</v>
      </c>
      <c r="M107" s="1081">
        <v>17000</v>
      </c>
      <c r="N107" s="1081"/>
      <c r="O107" s="1128">
        <f t="shared" si="13"/>
        <v>35.978873239436616</v>
      </c>
      <c r="P107" s="1128">
        <v>20436</v>
      </c>
      <c r="Q107" s="1081"/>
      <c r="R107" s="207"/>
      <c r="S107" s="562"/>
      <c r="T107" s="25">
        <f>S94*M107</f>
        <v>18700</v>
      </c>
      <c r="U107" s="25"/>
      <c r="V107" s="25"/>
      <c r="W107" s="207"/>
      <c r="X107" s="25"/>
      <c r="Y107" s="25">
        <f>X94*M107</f>
        <v>21250</v>
      </c>
      <c r="Z107" s="25"/>
      <c r="AA107" s="25"/>
      <c r="AB107" s="207"/>
      <c r="AC107" s="25"/>
      <c r="AD107" s="25">
        <f>AC94*M107</f>
        <v>25500</v>
      </c>
      <c r="AE107" s="25"/>
      <c r="AF107" s="25"/>
      <c r="AG107" s="207"/>
      <c r="AH107" s="893"/>
      <c r="AI107" s="25"/>
      <c r="AJ107" s="180"/>
      <c r="AK107" s="25"/>
      <c r="AL107" s="207"/>
      <c r="AM107" s="25"/>
      <c r="AN107" s="541"/>
      <c r="AO107" s="600">
        <v>17000</v>
      </c>
      <c r="AP107" s="600"/>
      <c r="AQ107" s="601" t="s">
        <v>163</v>
      </c>
      <c r="AR107" s="600"/>
      <c r="AS107" s="596">
        <f>AO107-T107</f>
        <v>-1700</v>
      </c>
      <c r="AT107" s="25"/>
      <c r="AU107" s="25"/>
      <c r="AV107" s="25"/>
      <c r="AW107" s="25"/>
      <c r="AX107" s="25">
        <v>15000</v>
      </c>
      <c r="AY107" s="25"/>
      <c r="AZ107" s="207"/>
      <c r="BA107" s="180"/>
      <c r="BB107" s="25"/>
      <c r="BC107" s="25"/>
      <c r="BD107" s="25"/>
      <c r="BE107" s="25">
        <v>14947</v>
      </c>
      <c r="BF107" s="25"/>
      <c r="BG107" s="207"/>
      <c r="BH107" s="180"/>
      <c r="BI107" s="148"/>
      <c r="BJ107" s="49"/>
      <c r="BK107" s="50"/>
      <c r="BL107" s="25"/>
      <c r="BM107" s="31"/>
      <c r="BN107" s="49"/>
      <c r="BO107" s="50"/>
      <c r="BP107" s="25"/>
      <c r="BQ107" s="31"/>
      <c r="BR107" s="49"/>
      <c r="BS107" s="110">
        <f t="shared" si="16"/>
        <v>20.718232044198896</v>
      </c>
      <c r="BT107" s="25">
        <v>15000</v>
      </c>
      <c r="BU107" s="31"/>
    </row>
    <row r="108" spans="1:73" ht="15.6">
      <c r="A108" s="816"/>
      <c r="B108" s="848" t="s">
        <v>321</v>
      </c>
      <c r="D108" s="11"/>
      <c r="E108" s="1" t="s">
        <v>324</v>
      </c>
      <c r="F108" s="11"/>
      <c r="G108" s="11"/>
      <c r="H108" s="11"/>
      <c r="I108" s="11"/>
      <c r="J108" s="26"/>
      <c r="K108" s="49"/>
      <c r="L108" s="50">
        <f>M108/$K$56</f>
        <v>2.288732394366197</v>
      </c>
      <c r="M108" s="801">
        <v>1300</v>
      </c>
      <c r="N108" s="1081"/>
      <c r="O108" s="1128">
        <f t="shared" si="13"/>
        <v>2.23943661971831</v>
      </c>
      <c r="P108" s="1128">
        <v>1272</v>
      </c>
      <c r="Q108" s="1081"/>
      <c r="R108" s="207"/>
      <c r="S108" s="562"/>
      <c r="T108" s="25">
        <f>S94*M108</f>
        <v>1430.0000000000002</v>
      </c>
      <c r="U108" s="25"/>
      <c r="V108" s="25"/>
      <c r="W108" s="207"/>
      <c r="X108" s="25"/>
      <c r="Y108" s="25">
        <f>X94*M108</f>
        <v>1625</v>
      </c>
      <c r="Z108" s="25"/>
      <c r="AA108" s="25"/>
      <c r="AB108" s="207"/>
      <c r="AC108" s="25"/>
      <c r="AD108" s="25">
        <f>AC94*M108</f>
        <v>1950</v>
      </c>
      <c r="AE108" s="25"/>
      <c r="AF108" s="25"/>
      <c r="AG108" s="207"/>
      <c r="AH108" s="893"/>
      <c r="AI108" s="25"/>
      <c r="AJ108" s="180"/>
      <c r="AK108" s="25"/>
      <c r="AL108" s="207"/>
      <c r="AM108" s="25"/>
      <c r="AN108" s="541"/>
      <c r="AO108" s="600">
        <v>1300</v>
      </c>
      <c r="AP108" s="600"/>
      <c r="AQ108" s="601" t="s">
        <v>163</v>
      </c>
      <c r="AR108" s="600"/>
      <c r="AS108" s="596">
        <f>AO108-T108</f>
        <v>-130.00000000000023</v>
      </c>
      <c r="AT108" s="25"/>
      <c r="AU108" s="25"/>
      <c r="AV108" s="25"/>
      <c r="AW108" s="25"/>
      <c r="AX108" s="35">
        <v>1800</v>
      </c>
      <c r="AY108" s="25"/>
      <c r="AZ108" s="207"/>
      <c r="BA108" s="180"/>
      <c r="BB108" s="25"/>
      <c r="BC108" s="25"/>
      <c r="BD108" s="25"/>
      <c r="BE108" s="35" t="s">
        <v>45</v>
      </c>
      <c r="BF108" s="25"/>
      <c r="BG108" s="207"/>
      <c r="BH108" s="180"/>
      <c r="BI108" s="148"/>
      <c r="BJ108" s="49"/>
      <c r="BK108" s="50"/>
      <c r="BL108" s="25"/>
      <c r="BN108" s="49"/>
      <c r="BO108" s="50"/>
      <c r="BP108" s="25"/>
      <c r="BR108" s="25"/>
      <c r="BS108" s="110">
        <f t="shared" si="16"/>
        <v>2.4861878453038675</v>
      </c>
      <c r="BT108" s="25">
        <v>1800</v>
      </c>
    </row>
    <row r="109" spans="1:73" ht="15.6">
      <c r="A109" s="816"/>
      <c r="B109" s="848" t="s">
        <v>322</v>
      </c>
      <c r="D109" s="11"/>
      <c r="E109" s="1" t="s">
        <v>323</v>
      </c>
      <c r="F109" s="11"/>
      <c r="G109" s="11"/>
      <c r="H109" s="11"/>
      <c r="I109" s="11"/>
      <c r="J109" s="26"/>
      <c r="K109" s="49"/>
      <c r="L109" s="50">
        <f>M109/$K$56</f>
        <v>0</v>
      </c>
      <c r="M109" s="801">
        <v>0</v>
      </c>
      <c r="N109" s="1081"/>
      <c r="O109" s="1128">
        <f t="shared" si="13"/>
        <v>0</v>
      </c>
      <c r="P109" s="1128">
        <v>0</v>
      </c>
      <c r="Q109" s="1081"/>
      <c r="R109" s="207"/>
      <c r="S109" s="562"/>
      <c r="T109" s="25"/>
      <c r="U109" s="25"/>
      <c r="V109" s="25"/>
      <c r="W109" s="207"/>
      <c r="X109" s="25"/>
      <c r="Y109" s="25"/>
      <c r="Z109" s="25"/>
      <c r="AA109" s="25"/>
      <c r="AB109" s="207"/>
      <c r="AC109" s="25"/>
      <c r="AD109" s="25"/>
      <c r="AE109" s="25"/>
      <c r="AF109" s="25"/>
      <c r="AG109" s="207"/>
      <c r="AH109" s="893"/>
      <c r="AI109" s="25"/>
      <c r="AJ109" s="180"/>
      <c r="AK109" s="25"/>
      <c r="AL109" s="207"/>
      <c r="AM109" s="25"/>
      <c r="AN109" s="541"/>
      <c r="AO109" s="600"/>
      <c r="AP109" s="600"/>
      <c r="AQ109" s="601"/>
      <c r="AR109" s="600"/>
      <c r="AS109" s="596"/>
      <c r="AT109" s="25"/>
      <c r="AU109" s="25"/>
      <c r="AV109" s="25"/>
      <c r="AW109" s="25"/>
      <c r="AX109" s="35"/>
      <c r="AY109" s="25"/>
      <c r="AZ109" s="207"/>
      <c r="BA109" s="180"/>
      <c r="BB109" s="25"/>
      <c r="BC109" s="25"/>
      <c r="BD109" s="25"/>
      <c r="BE109" s="35"/>
      <c r="BF109" s="25"/>
      <c r="BG109" s="207"/>
      <c r="BH109" s="180"/>
      <c r="BI109" s="148"/>
      <c r="BJ109" s="49"/>
      <c r="BK109" s="50"/>
      <c r="BL109" s="25"/>
      <c r="BN109" s="49"/>
      <c r="BO109" s="50"/>
      <c r="BP109" s="25"/>
      <c r="BR109" s="25"/>
      <c r="BS109" s="110"/>
      <c r="BT109" s="25"/>
    </row>
    <row r="110" spans="1:73" ht="15.6">
      <c r="B110" s="848"/>
      <c r="D110" s="6"/>
      <c r="E110" s="51"/>
      <c r="F110" s="6"/>
      <c r="G110" s="6"/>
      <c r="H110" s="6"/>
      <c r="I110" s="6"/>
      <c r="J110" s="91"/>
      <c r="K110" s="49"/>
      <c r="L110" s="109" t="s">
        <v>0</v>
      </c>
      <c r="M110" s="25"/>
      <c r="N110" s="1089"/>
      <c r="O110" s="1128" t="s">
        <v>0</v>
      </c>
      <c r="P110" s="1128"/>
      <c r="Q110" s="1089"/>
      <c r="R110" s="207"/>
      <c r="S110" s="562"/>
      <c r="T110" s="25"/>
      <c r="U110" s="25"/>
      <c r="V110" s="25"/>
      <c r="W110" s="207"/>
      <c r="X110" s="25"/>
      <c r="Y110" s="25"/>
      <c r="Z110" s="25"/>
      <c r="AA110" s="25"/>
      <c r="AB110" s="207"/>
      <c r="AC110" s="25"/>
      <c r="AD110" s="25"/>
      <c r="AE110" s="25"/>
      <c r="AF110" s="25"/>
      <c r="AG110" s="207"/>
      <c r="AH110" s="893"/>
      <c r="AI110" s="25"/>
      <c r="AJ110" s="180"/>
      <c r="AK110" s="25"/>
      <c r="AL110" s="207"/>
      <c r="AM110" s="25"/>
      <c r="AN110" s="541"/>
      <c r="AO110" s="25"/>
      <c r="AP110" s="25"/>
      <c r="AQ110" s="180"/>
      <c r="AR110" s="25"/>
      <c r="AS110" s="501"/>
      <c r="AT110" s="25"/>
      <c r="AU110" s="25"/>
      <c r="AV110" s="25"/>
      <c r="AW110" s="25"/>
      <c r="AX110" s="25"/>
      <c r="AY110" s="25"/>
      <c r="AZ110" s="207"/>
      <c r="BA110" s="180"/>
      <c r="BB110" s="25"/>
      <c r="BC110" s="25"/>
      <c r="BD110" s="25"/>
      <c r="BE110" s="25"/>
      <c r="BF110" s="25"/>
      <c r="BG110" s="207"/>
      <c r="BH110" s="180"/>
      <c r="BI110" s="148"/>
      <c r="BJ110" s="49"/>
      <c r="BK110" s="109"/>
      <c r="BL110" s="25"/>
      <c r="BN110" s="49"/>
      <c r="BO110" s="109"/>
      <c r="BP110" s="25"/>
      <c r="BR110" s="25"/>
      <c r="BS110" s="25"/>
      <c r="BT110" s="25"/>
    </row>
    <row r="111" spans="1:73" ht="15.6">
      <c r="A111" s="53"/>
      <c r="B111" s="854" t="s">
        <v>332</v>
      </c>
      <c r="C111" s="52" t="s">
        <v>333</v>
      </c>
      <c r="D111" s="52"/>
      <c r="E111" s="53"/>
      <c r="F111" s="52"/>
      <c r="G111" s="52"/>
      <c r="H111" s="52"/>
      <c r="I111" s="52"/>
      <c r="J111" s="10"/>
      <c r="K111" s="98"/>
      <c r="L111" s="1110">
        <f t="shared" ref="L111:L115" si="17">M111/$K$56</f>
        <v>71.566901408450704</v>
      </c>
      <c r="M111" s="55">
        <f>M112+M117+M124</f>
        <v>40650</v>
      </c>
      <c r="N111" s="1087"/>
      <c r="O111" s="1143">
        <f t="shared" si="13"/>
        <v>71.049295774647888</v>
      </c>
      <c r="P111" s="1143">
        <f>P112+P117+P124</f>
        <v>40356</v>
      </c>
      <c r="Q111" s="1087"/>
      <c r="R111" s="214"/>
      <c r="S111" s="571">
        <v>1.1000000000000001</v>
      </c>
      <c r="T111" s="55">
        <f>S111*M111</f>
        <v>44715</v>
      </c>
      <c r="U111" s="55"/>
      <c r="V111" s="55"/>
      <c r="W111" s="214"/>
      <c r="X111" s="571">
        <v>1.25</v>
      </c>
      <c r="Y111" s="55">
        <f>X111*M111</f>
        <v>50812.5</v>
      </c>
      <c r="Z111" s="55"/>
      <c r="AA111" s="55"/>
      <c r="AB111" s="214"/>
      <c r="AC111" s="571">
        <v>1.5</v>
      </c>
      <c r="AD111" s="55">
        <f>AC111*M111</f>
        <v>60975</v>
      </c>
      <c r="AE111" s="55"/>
      <c r="AF111" s="55"/>
      <c r="AG111" s="214"/>
      <c r="AH111" s="906">
        <f>_xlfn.PERCENTOF(M111,M176)</f>
        <v>3.4814706965510742E-2</v>
      </c>
      <c r="AI111" s="55"/>
      <c r="AJ111" s="516">
        <f>MROUND(M111,1000)</f>
        <v>41000</v>
      </c>
      <c r="AK111" s="55"/>
      <c r="AL111" s="214"/>
      <c r="AM111" s="55"/>
      <c r="AN111" s="547"/>
      <c r="AO111" s="55">
        <f>AO112+AO117</f>
        <v>82650</v>
      </c>
      <c r="AP111" s="55"/>
      <c r="AQ111" s="516"/>
      <c r="AR111" s="55"/>
      <c r="AS111" s="171">
        <f>AO111-T111</f>
        <v>37935</v>
      </c>
      <c r="AT111" s="55"/>
      <c r="AU111" s="8"/>
      <c r="AV111" s="8"/>
      <c r="AW111" s="55"/>
      <c r="AX111" s="55">
        <f>AX112+AX117</f>
        <v>78700</v>
      </c>
      <c r="AY111" s="55"/>
      <c r="AZ111" s="214"/>
      <c r="BA111" s="186">
        <f>M111-AX111</f>
        <v>-38050</v>
      </c>
      <c r="BB111" s="8"/>
      <c r="BC111" s="8"/>
      <c r="BD111" s="55"/>
      <c r="BE111" s="55">
        <f>BE112+BE117</f>
        <v>82602</v>
      </c>
      <c r="BF111" s="55"/>
      <c r="BG111" s="214"/>
      <c r="BH111" s="186">
        <f>M111-BE111</f>
        <v>-41952</v>
      </c>
      <c r="BI111" s="147"/>
      <c r="BJ111" s="146"/>
      <c r="BK111" s="6"/>
      <c r="BL111" s="8"/>
      <c r="BN111" s="135"/>
      <c r="BO111" s="6"/>
      <c r="BP111" s="8"/>
      <c r="BR111" s="55"/>
      <c r="BS111" s="54"/>
      <c r="BT111" s="55">
        <f>BT112+BT117</f>
        <v>78700</v>
      </c>
    </row>
    <row r="112" spans="1:73" ht="15.6">
      <c r="A112" s="813"/>
      <c r="D112" s="22" t="s">
        <v>578</v>
      </c>
      <c r="E112" s="74"/>
      <c r="F112" s="89"/>
      <c r="G112" s="89"/>
      <c r="H112" s="89"/>
      <c r="I112" s="89"/>
      <c r="J112" s="26"/>
      <c r="K112" s="45"/>
      <c r="L112" s="1107">
        <f>M112/$K$56</f>
        <v>20.246478873239436</v>
      </c>
      <c r="M112" s="73">
        <f>SUM(M113:M115)</f>
        <v>11500</v>
      </c>
      <c r="N112" s="1088"/>
      <c r="O112" s="1134">
        <f t="shared" si="13"/>
        <v>20.047535211267604</v>
      </c>
      <c r="P112" s="1134">
        <f>SUM(P113:P115)</f>
        <v>11387</v>
      </c>
      <c r="Q112" s="1088"/>
      <c r="R112" s="198"/>
      <c r="S112" s="580"/>
      <c r="T112" s="73">
        <f>S111*M112</f>
        <v>12650.000000000002</v>
      </c>
      <c r="U112" s="8"/>
      <c r="V112" s="8"/>
      <c r="W112" s="198"/>
      <c r="X112" s="580"/>
      <c r="Y112" s="73">
        <f>X111*M112</f>
        <v>14375</v>
      </c>
      <c r="Z112" s="8"/>
      <c r="AA112" s="8"/>
      <c r="AB112" s="198"/>
      <c r="AC112" s="580"/>
      <c r="AD112" s="73">
        <f>AC111*M112</f>
        <v>17250</v>
      </c>
      <c r="AE112" s="8"/>
      <c r="AF112" s="8"/>
      <c r="AG112" s="198"/>
      <c r="AH112" s="889"/>
      <c r="AI112" s="8"/>
      <c r="AJ112" s="516">
        <f>MROUND(M112,1000)</f>
        <v>12000</v>
      </c>
      <c r="AK112" s="8"/>
      <c r="AL112" s="198"/>
      <c r="AM112" s="8"/>
      <c r="AN112" s="534"/>
      <c r="AO112" s="73">
        <f>SUM(AO113:AO127)</f>
        <v>69800</v>
      </c>
      <c r="AP112" s="8"/>
      <c r="AQ112" s="144"/>
      <c r="AR112" s="8"/>
      <c r="AS112" s="497"/>
      <c r="AT112" s="8"/>
      <c r="AU112" s="8"/>
      <c r="AV112" s="8"/>
      <c r="AW112" s="8"/>
      <c r="AX112" s="73">
        <f>SUM(AX113:AX127)</f>
        <v>65300</v>
      </c>
      <c r="AY112" s="8"/>
      <c r="AZ112" s="198"/>
      <c r="BA112" s="144"/>
      <c r="BB112" s="8"/>
      <c r="BC112" s="8"/>
      <c r="BD112" s="8"/>
      <c r="BE112" s="73">
        <f>SUM(BE113:BE127)</f>
        <v>68021</v>
      </c>
      <c r="BF112" s="8"/>
      <c r="BG112" s="198"/>
      <c r="BH112" s="144"/>
      <c r="BI112" s="148"/>
      <c r="BJ112" s="133"/>
      <c r="BK112" s="10"/>
      <c r="BL112" s="8"/>
      <c r="BN112" s="133"/>
      <c r="BO112" s="10"/>
      <c r="BP112" s="8"/>
      <c r="BR112" s="73"/>
      <c r="BS112" s="88"/>
      <c r="BT112" s="73">
        <f>SUM(BT113:BT127)</f>
        <v>65300</v>
      </c>
    </row>
    <row r="113" spans="1:73" ht="15.6">
      <c r="A113" s="813"/>
      <c r="B113" s="848" t="s">
        <v>307</v>
      </c>
      <c r="D113" s="11"/>
      <c r="E113" s="1" t="s">
        <v>334</v>
      </c>
      <c r="F113" s="11"/>
      <c r="G113" s="11"/>
      <c r="H113" s="11"/>
      <c r="I113" s="11"/>
      <c r="J113" s="26"/>
      <c r="K113" s="16"/>
      <c r="L113" s="50">
        <f t="shared" si="17"/>
        <v>8.8028169014084501</v>
      </c>
      <c r="M113" s="801">
        <v>5000</v>
      </c>
      <c r="N113" s="1081"/>
      <c r="O113" s="1128">
        <f t="shared" si="13"/>
        <v>8.6866197183098599</v>
      </c>
      <c r="P113" s="1128">
        <v>4934</v>
      </c>
      <c r="Q113" s="1081"/>
      <c r="R113" s="207"/>
      <c r="S113" s="562"/>
      <c r="T113" s="25">
        <f>S111*M113</f>
        <v>5500</v>
      </c>
      <c r="U113" s="25"/>
      <c r="V113" s="25"/>
      <c r="W113" s="207"/>
      <c r="X113" s="562"/>
      <c r="Y113" s="25">
        <f>X111*M113</f>
        <v>6250</v>
      </c>
      <c r="Z113" s="25"/>
      <c r="AA113" s="25"/>
      <c r="AB113" s="207"/>
      <c r="AC113" s="562"/>
      <c r="AD113" s="25">
        <f>AC111*M113</f>
        <v>7500</v>
      </c>
      <c r="AE113" s="25"/>
      <c r="AF113" s="25"/>
      <c r="AG113" s="207"/>
      <c r="AH113" s="893"/>
      <c r="AI113" s="25"/>
      <c r="AJ113" s="180"/>
      <c r="AK113" s="25"/>
      <c r="AL113" s="207"/>
      <c r="AM113" s="25"/>
      <c r="AN113" s="541"/>
      <c r="AO113" s="600">
        <v>5000</v>
      </c>
      <c r="AP113" s="600"/>
      <c r="AQ113" s="601" t="s">
        <v>164</v>
      </c>
      <c r="AR113" s="600"/>
      <c r="AS113" s="596">
        <f t="shared" ref="AS113:AS115" si="18">AO113-T113</f>
        <v>-500</v>
      </c>
      <c r="AT113" s="25"/>
      <c r="AU113" s="25"/>
      <c r="AV113" s="25"/>
      <c r="AW113" s="25"/>
      <c r="AX113" s="25">
        <v>5000</v>
      </c>
      <c r="AY113" s="25"/>
      <c r="AZ113" s="207"/>
      <c r="BA113" s="180"/>
      <c r="BB113" s="25"/>
      <c r="BC113" s="25"/>
      <c r="BD113" s="25"/>
      <c r="BE113" s="25">
        <v>6143</v>
      </c>
      <c r="BF113" s="25"/>
      <c r="BG113" s="207"/>
      <c r="BH113" s="180"/>
      <c r="BI113" s="148"/>
      <c r="BJ113" s="16"/>
      <c r="BK113" s="50"/>
      <c r="BL113" s="25"/>
      <c r="BN113" s="16"/>
      <c r="BO113" s="50"/>
      <c r="BP113" s="25"/>
      <c r="BR113" s="25"/>
      <c r="BS113" s="110">
        <f>BT113/BR$55</f>
        <v>6.9060773480662982</v>
      </c>
      <c r="BT113" s="25">
        <v>5000</v>
      </c>
    </row>
    <row r="114" spans="1:73" ht="15.6">
      <c r="A114" s="813"/>
      <c r="B114" s="848" t="s">
        <v>308</v>
      </c>
      <c r="D114" s="11"/>
      <c r="E114" s="1" t="s">
        <v>335</v>
      </c>
      <c r="F114" s="11"/>
      <c r="G114" s="11"/>
      <c r="H114" s="11"/>
      <c r="I114" s="11"/>
      <c r="J114" s="26"/>
      <c r="K114" s="16"/>
      <c r="L114" s="50">
        <f t="shared" si="17"/>
        <v>6.1619718309859151</v>
      </c>
      <c r="M114" s="801">
        <v>3500</v>
      </c>
      <c r="N114" s="1081"/>
      <c r="O114" s="1128">
        <f t="shared" si="13"/>
        <v>6.144366197183099</v>
      </c>
      <c r="P114" s="1128">
        <v>3490</v>
      </c>
      <c r="Q114" s="1081"/>
      <c r="R114" s="207"/>
      <c r="S114" s="562"/>
      <c r="T114" s="25">
        <f>S111*M114</f>
        <v>3850.0000000000005</v>
      </c>
      <c r="U114" s="25"/>
      <c r="V114" s="25"/>
      <c r="W114" s="207"/>
      <c r="X114" s="562"/>
      <c r="Y114" s="25">
        <f>X111*M114</f>
        <v>4375</v>
      </c>
      <c r="Z114" s="25"/>
      <c r="AA114" s="25"/>
      <c r="AB114" s="207"/>
      <c r="AC114" s="562"/>
      <c r="AD114" s="25">
        <f>AC111*M114</f>
        <v>5250</v>
      </c>
      <c r="AE114" s="25"/>
      <c r="AF114" s="25"/>
      <c r="AG114" s="207"/>
      <c r="AH114" s="893"/>
      <c r="AI114" s="25"/>
      <c r="AJ114" s="180"/>
      <c r="AK114" s="25"/>
      <c r="AL114" s="207"/>
      <c r="AM114" s="25"/>
      <c r="AN114" s="541"/>
      <c r="AO114" s="606">
        <v>3500</v>
      </c>
      <c r="AP114" s="600"/>
      <c r="AQ114" s="601" t="s">
        <v>164</v>
      </c>
      <c r="AR114" s="600"/>
      <c r="AS114" s="596">
        <f t="shared" si="18"/>
        <v>-350.00000000000045</v>
      </c>
      <c r="AT114" s="25"/>
      <c r="AU114" s="25"/>
      <c r="AV114" s="25"/>
      <c r="AW114" s="25"/>
      <c r="AX114" s="25">
        <v>3500</v>
      </c>
      <c r="AY114" s="25"/>
      <c r="AZ114" s="207"/>
      <c r="BA114" s="180"/>
      <c r="BB114" s="25"/>
      <c r="BC114" s="25"/>
      <c r="BD114" s="25"/>
      <c r="BE114" s="25">
        <v>3534</v>
      </c>
      <c r="BF114" s="25"/>
      <c r="BG114" s="207"/>
      <c r="BH114" s="180"/>
      <c r="BI114" s="148"/>
      <c r="BJ114" s="16"/>
      <c r="BK114" s="50"/>
      <c r="BL114" s="25"/>
      <c r="BN114" s="16"/>
      <c r="BO114" s="50"/>
      <c r="BP114" s="25"/>
      <c r="BR114" s="25"/>
      <c r="BS114" s="110">
        <f t="shared" ref="BS114:BS115" si="19">BT114/BR$55</f>
        <v>4.834254143646409</v>
      </c>
      <c r="BT114" s="25">
        <v>3500</v>
      </c>
    </row>
    <row r="115" spans="1:73" ht="15.6">
      <c r="A115" s="813"/>
      <c r="B115" s="848" t="s">
        <v>310</v>
      </c>
      <c r="D115" s="11"/>
      <c r="E115" s="1" t="s">
        <v>336</v>
      </c>
      <c r="F115" s="11"/>
      <c r="G115" s="11"/>
      <c r="H115" s="11"/>
      <c r="I115" s="11"/>
      <c r="J115" s="26"/>
      <c r="K115" s="16"/>
      <c r="L115" s="50">
        <f t="shared" si="17"/>
        <v>5.28169014084507</v>
      </c>
      <c r="M115" s="801">
        <v>3000</v>
      </c>
      <c r="N115" s="1081"/>
      <c r="O115" s="1128">
        <f t="shared" si="13"/>
        <v>5.216549295774648</v>
      </c>
      <c r="P115" s="1128">
        <v>2963</v>
      </c>
      <c r="Q115" s="1081"/>
      <c r="R115" s="207"/>
      <c r="S115" s="562"/>
      <c r="T115" s="25">
        <f>S111*M115</f>
        <v>3300.0000000000005</v>
      </c>
      <c r="U115" s="25"/>
      <c r="V115" s="25"/>
      <c r="W115" s="207"/>
      <c r="X115" s="562"/>
      <c r="Y115" s="25">
        <f>X111*M115</f>
        <v>3750</v>
      </c>
      <c r="Z115" s="25"/>
      <c r="AA115" s="25"/>
      <c r="AB115" s="207"/>
      <c r="AC115" s="562"/>
      <c r="AD115" s="25">
        <f>AC111*M115</f>
        <v>4500</v>
      </c>
      <c r="AE115" s="25"/>
      <c r="AF115" s="25"/>
      <c r="AG115" s="207"/>
      <c r="AH115" s="893"/>
      <c r="AI115" s="25"/>
      <c r="AJ115" s="180"/>
      <c r="AK115" s="25"/>
      <c r="AL115" s="207"/>
      <c r="AM115" s="25"/>
      <c r="AN115" s="541"/>
      <c r="AO115" s="600">
        <v>3000</v>
      </c>
      <c r="AP115" s="600"/>
      <c r="AQ115" s="601" t="s">
        <v>163</v>
      </c>
      <c r="AR115" s="600"/>
      <c r="AS115" s="596">
        <f t="shared" si="18"/>
        <v>-300.00000000000045</v>
      </c>
      <c r="AT115" s="25"/>
      <c r="AU115" s="25"/>
      <c r="AV115" s="25"/>
      <c r="AW115" s="25"/>
      <c r="AX115" s="25">
        <v>3000</v>
      </c>
      <c r="AY115" s="25"/>
      <c r="AZ115" s="207"/>
      <c r="BA115" s="180"/>
      <c r="BB115" s="25"/>
      <c r="BC115" s="25"/>
      <c r="BD115" s="25"/>
      <c r="BE115" s="25">
        <v>2232</v>
      </c>
      <c r="BF115" s="25"/>
      <c r="BG115" s="207"/>
      <c r="BH115" s="180"/>
      <c r="BI115" s="148"/>
      <c r="BJ115" s="16"/>
      <c r="BK115" s="50"/>
      <c r="BL115" s="25"/>
      <c r="BN115" s="16"/>
      <c r="BO115" s="50"/>
      <c r="BP115" s="25"/>
      <c r="BR115" s="25"/>
      <c r="BS115" s="110">
        <f t="shared" si="19"/>
        <v>4.1436464088397793</v>
      </c>
      <c r="BT115" s="25">
        <v>3000</v>
      </c>
    </row>
    <row r="116" spans="1:73" ht="13.8">
      <c r="D116" s="11"/>
      <c r="E116" s="1"/>
      <c r="F116" s="11"/>
      <c r="G116" s="11"/>
      <c r="H116" s="11"/>
      <c r="I116" s="11"/>
      <c r="J116" s="26"/>
      <c r="K116" s="16"/>
      <c r="L116" s="50"/>
      <c r="M116" s="801"/>
      <c r="N116" s="1081"/>
      <c r="O116" s="1128" t="s">
        <v>0</v>
      </c>
      <c r="P116" s="1128"/>
      <c r="Q116" s="1081"/>
      <c r="R116" s="207"/>
      <c r="S116" s="562"/>
      <c r="T116" s="25"/>
      <c r="U116" s="25"/>
      <c r="V116" s="25"/>
      <c r="W116" s="207"/>
      <c r="X116" s="562"/>
      <c r="Y116" s="25"/>
      <c r="Z116" s="25"/>
      <c r="AA116" s="25"/>
      <c r="AB116" s="207"/>
      <c r="AC116" s="562"/>
      <c r="AD116" s="25"/>
      <c r="AE116" s="25"/>
      <c r="AF116" s="25"/>
      <c r="AG116" s="207"/>
      <c r="AH116" s="893"/>
      <c r="AI116" s="25"/>
      <c r="AJ116" s="180"/>
      <c r="AK116" s="25"/>
      <c r="AL116" s="207"/>
      <c r="AM116" s="25"/>
      <c r="AN116" s="541"/>
      <c r="AO116" s="25"/>
      <c r="AP116" s="25"/>
      <c r="AQ116" s="180"/>
      <c r="AR116" s="25"/>
      <c r="AS116" s="501"/>
      <c r="AT116" s="25"/>
      <c r="AU116" s="25"/>
      <c r="AV116" s="25"/>
      <c r="AW116" s="25"/>
      <c r="AX116" s="25"/>
      <c r="AY116" s="25"/>
      <c r="AZ116" s="207"/>
      <c r="BA116" s="180"/>
      <c r="BB116" s="25"/>
      <c r="BC116" s="25"/>
      <c r="BD116" s="25"/>
      <c r="BE116" s="25"/>
      <c r="BF116" s="25"/>
      <c r="BG116" s="207"/>
      <c r="BH116" s="180"/>
      <c r="BI116" s="148"/>
      <c r="BJ116" s="16"/>
      <c r="BK116" s="50"/>
      <c r="BL116" s="25"/>
      <c r="BN116" s="16"/>
      <c r="BO116" s="50"/>
      <c r="BP116" s="25"/>
      <c r="BR116" s="25"/>
      <c r="BS116" s="50"/>
      <c r="BT116" s="25"/>
    </row>
    <row r="117" spans="1:73" ht="15.6">
      <c r="A117" s="813"/>
      <c r="D117" s="89" t="s">
        <v>581</v>
      </c>
      <c r="E117" s="74"/>
      <c r="F117" s="89"/>
      <c r="G117" s="89"/>
      <c r="H117" s="89"/>
      <c r="I117" s="89"/>
      <c r="J117" s="26"/>
      <c r="K117" s="45"/>
      <c r="L117" s="1107">
        <f>M117/$K$56</f>
        <v>22.62323943661972</v>
      </c>
      <c r="M117" s="800">
        <f>SUM(M118:M121)</f>
        <v>12850</v>
      </c>
      <c r="N117" s="1096"/>
      <c r="O117" s="1134">
        <f t="shared" si="13"/>
        <v>23.2693661971831</v>
      </c>
      <c r="P117" s="1134">
        <f>SUM(P118:P121)</f>
        <v>13217</v>
      </c>
      <c r="Q117" s="1081"/>
      <c r="R117" s="198"/>
      <c r="S117" s="580"/>
      <c r="T117" s="73">
        <f>S111*M117</f>
        <v>14135.000000000002</v>
      </c>
      <c r="U117" s="8"/>
      <c r="V117" s="8"/>
      <c r="W117" s="198"/>
      <c r="X117" s="580"/>
      <c r="Y117" s="73">
        <f>X111*M117</f>
        <v>16062.5</v>
      </c>
      <c r="Z117" s="8"/>
      <c r="AA117" s="8"/>
      <c r="AB117" s="198"/>
      <c r="AC117" s="580"/>
      <c r="AD117" s="73">
        <f>AC111*M117</f>
        <v>19275</v>
      </c>
      <c r="AE117" s="8"/>
      <c r="AF117" s="8"/>
      <c r="AG117" s="198"/>
      <c r="AH117" s="889"/>
      <c r="AI117" s="8"/>
      <c r="AJ117" s="516">
        <f>MROUND(M117,1000)</f>
        <v>13000</v>
      </c>
      <c r="AK117" s="8"/>
      <c r="AL117" s="198"/>
      <c r="AM117" s="8"/>
      <c r="AN117" s="534"/>
      <c r="AO117" s="73">
        <f>SUM(AO118:AO121)</f>
        <v>12850</v>
      </c>
      <c r="AP117" s="8"/>
      <c r="AQ117" s="144"/>
      <c r="AR117" s="8"/>
      <c r="AS117" s="497"/>
      <c r="AT117" s="8"/>
      <c r="AU117" s="8"/>
      <c r="AV117" s="8"/>
      <c r="AW117" s="8"/>
      <c r="AX117" s="73">
        <f>SUM(AX118:AX121)</f>
        <v>13400</v>
      </c>
      <c r="AY117" s="8"/>
      <c r="AZ117" s="198"/>
      <c r="BA117" s="144"/>
      <c r="BB117" s="8"/>
      <c r="BC117" s="8"/>
      <c r="BD117" s="8"/>
      <c r="BE117" s="73">
        <f>SUM(BE118:BE121)</f>
        <v>14581</v>
      </c>
      <c r="BF117" s="8"/>
      <c r="BG117" s="198"/>
      <c r="BH117" s="144"/>
      <c r="BI117" s="148"/>
      <c r="BJ117" s="133"/>
      <c r="BK117" s="10"/>
      <c r="BL117" s="8"/>
      <c r="BN117" s="133"/>
      <c r="BO117" s="10"/>
      <c r="BP117" s="8"/>
      <c r="BR117" s="73"/>
      <c r="BS117" s="88"/>
      <c r="BT117" s="23">
        <f>SUM(BT118:BT121)</f>
        <v>13400</v>
      </c>
      <c r="BU117" s="96" t="s">
        <v>0</v>
      </c>
    </row>
    <row r="118" spans="1:73" ht="15.6">
      <c r="A118" s="813"/>
      <c r="B118" s="848" t="s">
        <v>340</v>
      </c>
      <c r="D118" s="11"/>
      <c r="E118" s="1" t="s">
        <v>582</v>
      </c>
      <c r="F118" s="11"/>
      <c r="G118" s="11"/>
      <c r="H118" s="11"/>
      <c r="I118" s="11"/>
      <c r="J118" s="26"/>
      <c r="K118" s="16"/>
      <c r="L118" s="50">
        <f>M118/$K$56</f>
        <v>3.5211267605633805</v>
      </c>
      <c r="M118" s="801">
        <v>2000</v>
      </c>
      <c r="N118" s="1081"/>
      <c r="O118" s="1128">
        <f t="shared" si="13"/>
        <v>3.5299295774647885</v>
      </c>
      <c r="P118" s="1128">
        <v>2005</v>
      </c>
      <c r="Q118" s="1081"/>
      <c r="R118" s="207"/>
      <c r="S118" s="562"/>
      <c r="T118" s="25">
        <f>S111*M118</f>
        <v>2200</v>
      </c>
      <c r="U118" s="25"/>
      <c r="V118" s="25"/>
      <c r="W118" s="207"/>
      <c r="X118" s="562"/>
      <c r="Y118" s="25">
        <f>X111*M118</f>
        <v>2500</v>
      </c>
      <c r="Z118" s="25"/>
      <c r="AA118" s="25"/>
      <c r="AB118" s="207"/>
      <c r="AC118" s="562"/>
      <c r="AD118" s="25">
        <f>AC111*M118</f>
        <v>3000</v>
      </c>
      <c r="AE118" s="25"/>
      <c r="AF118" s="25"/>
      <c r="AG118" s="207"/>
      <c r="AH118" s="893"/>
      <c r="AI118" s="25"/>
      <c r="AJ118" s="180"/>
      <c r="AK118" s="25"/>
      <c r="AL118" s="207"/>
      <c r="AM118" s="25"/>
      <c r="AN118" s="541"/>
      <c r="AO118" s="600">
        <v>2000</v>
      </c>
      <c r="AP118" s="600"/>
      <c r="AQ118" s="601" t="s">
        <v>164</v>
      </c>
      <c r="AR118" s="600"/>
      <c r="AS118" s="596">
        <f>AO118-T118</f>
        <v>-200</v>
      </c>
      <c r="AT118" s="25"/>
      <c r="AU118" s="25"/>
      <c r="AV118" s="25"/>
      <c r="AW118" s="25"/>
      <c r="AX118" s="25">
        <v>2000</v>
      </c>
      <c r="AY118" s="25"/>
      <c r="AZ118" s="207"/>
      <c r="BA118" s="180"/>
      <c r="BB118" s="25"/>
      <c r="BC118" s="25"/>
      <c r="BD118" s="25"/>
      <c r="BE118" s="25">
        <v>2065</v>
      </c>
      <c r="BF118" s="25"/>
      <c r="BG118" s="207"/>
      <c r="BH118" s="180"/>
      <c r="BI118" s="148"/>
      <c r="BJ118" s="16"/>
      <c r="BK118" s="50"/>
      <c r="BL118" s="25"/>
      <c r="BN118" s="16"/>
      <c r="BO118" s="50"/>
      <c r="BP118" s="25"/>
      <c r="BR118" s="25"/>
      <c r="BS118" s="110">
        <f>BT118/BR$55</f>
        <v>2.7624309392265194</v>
      </c>
      <c r="BT118" s="25">
        <v>2000</v>
      </c>
    </row>
    <row r="119" spans="1:73" ht="15.6">
      <c r="A119" s="813"/>
      <c r="B119" s="848" t="s">
        <v>309</v>
      </c>
      <c r="D119" s="11"/>
      <c r="E119" s="1" t="s">
        <v>577</v>
      </c>
      <c r="F119" s="11"/>
      <c r="G119" s="11"/>
      <c r="H119" s="11"/>
      <c r="I119" s="11"/>
      <c r="J119" s="93"/>
      <c r="K119" s="16"/>
      <c r="L119" s="1080">
        <f>M119/$K$56</f>
        <v>10.123239436619718</v>
      </c>
      <c r="M119" s="1081">
        <v>5750</v>
      </c>
      <c r="N119" s="1081"/>
      <c r="O119" s="1128">
        <f>P119/$K$56</f>
        <v>10.838028169014084</v>
      </c>
      <c r="P119" s="1128">
        <v>6156</v>
      </c>
      <c r="Q119" s="1081"/>
      <c r="R119" s="207"/>
      <c r="S119" s="562"/>
      <c r="T119" s="25">
        <f>S111*M119</f>
        <v>6325.0000000000009</v>
      </c>
      <c r="U119" s="25"/>
      <c r="V119" s="25"/>
      <c r="W119" s="207"/>
      <c r="X119" s="562"/>
      <c r="Y119" s="25">
        <f>X111*M119</f>
        <v>7187.5</v>
      </c>
      <c r="Z119" s="25"/>
      <c r="AA119" s="25"/>
      <c r="AB119" s="207"/>
      <c r="AC119" s="562"/>
      <c r="AD119" s="25">
        <f>AC111*M119</f>
        <v>8625</v>
      </c>
      <c r="AE119" s="25"/>
      <c r="AF119" s="25"/>
      <c r="AG119" s="207"/>
      <c r="AH119" s="893"/>
      <c r="AI119" s="25"/>
      <c r="AJ119" s="180"/>
      <c r="AK119" s="25"/>
      <c r="AL119" s="207"/>
      <c r="AM119" s="25"/>
      <c r="AN119" s="541"/>
      <c r="AO119" s="600">
        <v>5750</v>
      </c>
      <c r="AP119" s="600"/>
      <c r="AQ119" s="601" t="s">
        <v>164</v>
      </c>
      <c r="AR119" s="600"/>
      <c r="AS119" s="596">
        <f>AO119-T119</f>
        <v>-575.00000000000091</v>
      </c>
      <c r="AT119" s="25"/>
      <c r="AU119" s="25"/>
      <c r="AV119" s="25"/>
      <c r="AW119" s="25"/>
      <c r="AX119" s="25">
        <v>6200</v>
      </c>
      <c r="AY119" s="25"/>
      <c r="AZ119" s="207"/>
      <c r="BA119" s="180"/>
      <c r="BB119" s="25"/>
      <c r="BC119" s="25"/>
      <c r="BD119" s="25"/>
      <c r="BE119" s="25">
        <v>6227</v>
      </c>
      <c r="BF119" s="25"/>
      <c r="BG119" s="207"/>
      <c r="BH119" s="180"/>
      <c r="BI119" s="148"/>
      <c r="BJ119" s="16"/>
      <c r="BK119" s="50"/>
      <c r="BL119" s="25"/>
      <c r="BN119" s="16"/>
      <c r="BO119" s="50"/>
      <c r="BP119" s="25"/>
      <c r="BR119" s="25"/>
      <c r="BS119" s="110">
        <f>BT119/BR$55</f>
        <v>8.5635359116022105</v>
      </c>
      <c r="BT119" s="25">
        <v>6200</v>
      </c>
    </row>
    <row r="120" spans="1:73" ht="15.6">
      <c r="A120" s="813"/>
      <c r="B120" s="848" t="s">
        <v>341</v>
      </c>
      <c r="D120" s="11"/>
      <c r="E120" s="1" t="s">
        <v>343</v>
      </c>
      <c r="F120" s="11"/>
      <c r="G120" s="11"/>
      <c r="H120" s="11"/>
      <c r="I120" s="11"/>
      <c r="J120" s="26"/>
      <c r="K120" s="16"/>
      <c r="L120" s="50">
        <f>M120/$K$56</f>
        <v>4.929577464788732</v>
      </c>
      <c r="M120" s="801">
        <v>2800</v>
      </c>
      <c r="N120" s="1081"/>
      <c r="O120" s="1128">
        <f t="shared" si="13"/>
        <v>4.96830985915493</v>
      </c>
      <c r="P120" s="1128">
        <v>2822</v>
      </c>
      <c r="Q120" s="1081"/>
      <c r="R120" s="207"/>
      <c r="S120" s="562"/>
      <c r="T120" s="25">
        <f>S111*M120</f>
        <v>3080.0000000000005</v>
      </c>
      <c r="U120" s="25"/>
      <c r="V120" s="25"/>
      <c r="W120" s="207"/>
      <c r="X120" s="562"/>
      <c r="Y120" s="25">
        <f>X111*M120</f>
        <v>3500</v>
      </c>
      <c r="Z120" s="25"/>
      <c r="AA120" s="25"/>
      <c r="AB120" s="207"/>
      <c r="AC120" s="562"/>
      <c r="AD120" s="25">
        <f>AC111*M120</f>
        <v>4200</v>
      </c>
      <c r="AE120" s="25"/>
      <c r="AF120" s="25"/>
      <c r="AG120" s="207"/>
      <c r="AH120" s="893"/>
      <c r="AI120" s="25"/>
      <c r="AJ120" s="180"/>
      <c r="AK120" s="25"/>
      <c r="AL120" s="207"/>
      <c r="AM120" s="25"/>
      <c r="AN120" s="541"/>
      <c r="AO120" s="600">
        <v>2800</v>
      </c>
      <c r="AP120" s="600"/>
      <c r="AQ120" s="601" t="s">
        <v>164</v>
      </c>
      <c r="AR120" s="600"/>
      <c r="AS120" s="596">
        <f>AO120-T120</f>
        <v>-280.00000000000045</v>
      </c>
      <c r="AT120" s="25"/>
      <c r="AU120" s="25"/>
      <c r="AV120" s="25"/>
      <c r="AW120" s="25"/>
      <c r="AX120" s="25">
        <v>2700</v>
      </c>
      <c r="AY120" s="25"/>
      <c r="AZ120" s="207"/>
      <c r="BA120" s="180"/>
      <c r="BB120" s="25"/>
      <c r="BC120" s="25"/>
      <c r="BD120" s="25"/>
      <c r="BE120" s="25">
        <v>6289</v>
      </c>
      <c r="BF120" s="25"/>
      <c r="BG120" s="207"/>
      <c r="BH120" s="180"/>
      <c r="BI120" s="148"/>
      <c r="BJ120" s="16"/>
      <c r="BK120" s="50"/>
      <c r="BL120" s="25"/>
      <c r="BN120" s="16"/>
      <c r="BO120" s="50"/>
      <c r="BP120" s="25"/>
      <c r="BR120" s="25"/>
      <c r="BS120" s="110">
        <f t="shared" ref="BS120:BS121" si="20">BT120/BR$55</f>
        <v>3.729281767955801</v>
      </c>
      <c r="BT120" s="25">
        <v>2700</v>
      </c>
    </row>
    <row r="121" spans="1:73" ht="15.6">
      <c r="A121" s="813"/>
      <c r="B121" s="848" t="s">
        <v>342</v>
      </c>
      <c r="D121" s="11"/>
      <c r="E121" s="1" t="s">
        <v>547</v>
      </c>
      <c r="F121" s="11"/>
      <c r="G121" s="11"/>
      <c r="H121" s="11"/>
      <c r="I121" s="11"/>
      <c r="J121" s="93"/>
      <c r="K121" s="16"/>
      <c r="L121" s="50">
        <f>M121/$K$56</f>
        <v>4.049295774647887</v>
      </c>
      <c r="M121" s="801">
        <v>2300</v>
      </c>
      <c r="N121" s="1081"/>
      <c r="O121" s="1128">
        <f t="shared" si="13"/>
        <v>3.933098591549296</v>
      </c>
      <c r="P121" s="1128">
        <v>2234</v>
      </c>
      <c r="Q121" s="1081"/>
      <c r="R121" s="207"/>
      <c r="S121" s="562"/>
      <c r="T121" s="25">
        <f>S111*M121</f>
        <v>2530</v>
      </c>
      <c r="U121" s="25"/>
      <c r="V121" s="25"/>
      <c r="W121" s="207"/>
      <c r="X121" s="562"/>
      <c r="Y121" s="25">
        <f>X111*M121</f>
        <v>2875</v>
      </c>
      <c r="Z121" s="25"/>
      <c r="AA121" s="25"/>
      <c r="AB121" s="207"/>
      <c r="AC121" s="562"/>
      <c r="AD121" s="25">
        <f>AC111*M121</f>
        <v>3450</v>
      </c>
      <c r="AE121" s="25"/>
      <c r="AF121" s="25"/>
      <c r="AG121" s="207"/>
      <c r="AH121" s="893"/>
      <c r="AI121" s="25"/>
      <c r="AJ121" s="180"/>
      <c r="AK121" s="25"/>
      <c r="AL121" s="207"/>
      <c r="AM121" s="25"/>
      <c r="AN121" s="541"/>
      <c r="AO121" s="600">
        <v>2300</v>
      </c>
      <c r="AP121" s="600"/>
      <c r="AQ121" s="601" t="s">
        <v>164</v>
      </c>
      <c r="AR121" s="600"/>
      <c r="AS121" s="596">
        <f>AO121-T121</f>
        <v>-230</v>
      </c>
      <c r="AT121" s="25"/>
      <c r="AU121" s="25"/>
      <c r="AV121" s="25"/>
      <c r="AW121" s="25"/>
      <c r="AX121" s="25">
        <v>2500</v>
      </c>
      <c r="AY121" s="25"/>
      <c r="AZ121" s="207"/>
      <c r="BA121" s="180"/>
      <c r="BB121" s="25"/>
      <c r="BC121" s="25"/>
      <c r="BD121" s="25"/>
      <c r="BE121" s="25"/>
      <c r="BF121" s="25"/>
      <c r="BG121" s="207"/>
      <c r="BH121" s="180"/>
      <c r="BI121" s="148"/>
      <c r="BJ121" s="16"/>
      <c r="BK121" s="50"/>
      <c r="BL121" s="25"/>
      <c r="BN121" s="16"/>
      <c r="BO121" s="50"/>
      <c r="BP121" s="25"/>
      <c r="BR121" s="25"/>
      <c r="BS121" s="110">
        <f t="shared" si="20"/>
        <v>3.4530386740331491</v>
      </c>
      <c r="BT121" s="25">
        <v>2500</v>
      </c>
    </row>
    <row r="122" spans="1:73" ht="15.6">
      <c r="A122" s="813"/>
      <c r="B122" s="848"/>
      <c r="D122" s="11"/>
      <c r="E122" s="1" t="s">
        <v>579</v>
      </c>
      <c r="F122" s="11" t="s">
        <v>580</v>
      </c>
      <c r="G122" s="11"/>
      <c r="H122" s="11"/>
      <c r="I122" s="11"/>
      <c r="J122" s="93"/>
      <c r="K122" s="16"/>
      <c r="L122" s="50">
        <f>M122/$K$56</f>
        <v>0</v>
      </c>
      <c r="M122" s="801">
        <v>0</v>
      </c>
      <c r="N122" s="1081"/>
      <c r="O122" s="1128"/>
      <c r="P122" s="1128"/>
      <c r="Q122" s="1081"/>
      <c r="R122" s="207"/>
      <c r="S122" s="562"/>
      <c r="T122" s="25"/>
      <c r="U122" s="25"/>
      <c r="V122" s="25"/>
      <c r="W122" s="207"/>
      <c r="X122" s="562"/>
      <c r="Y122" s="25"/>
      <c r="Z122" s="25"/>
      <c r="AA122" s="25"/>
      <c r="AB122" s="207"/>
      <c r="AC122" s="562"/>
      <c r="AD122" s="25"/>
      <c r="AE122" s="25"/>
      <c r="AF122" s="25"/>
      <c r="AG122" s="207"/>
      <c r="AH122" s="893"/>
      <c r="AI122" s="25"/>
      <c r="AJ122" s="180"/>
      <c r="AK122" s="25"/>
      <c r="AL122" s="207"/>
      <c r="AM122" s="25"/>
      <c r="AN122" s="541"/>
      <c r="AO122" s="600"/>
      <c r="AP122" s="600"/>
      <c r="AQ122" s="601"/>
      <c r="AR122" s="600"/>
      <c r="AS122" s="596"/>
      <c r="AT122" s="25"/>
      <c r="AU122" s="25"/>
      <c r="AV122" s="25"/>
      <c r="AW122" s="25"/>
      <c r="AX122" s="25"/>
      <c r="AY122" s="25"/>
      <c r="AZ122" s="207"/>
      <c r="BA122" s="180"/>
      <c r="BB122" s="25"/>
      <c r="BC122" s="25"/>
      <c r="BD122" s="25"/>
      <c r="BE122" s="25"/>
      <c r="BF122" s="25"/>
      <c r="BG122" s="207"/>
      <c r="BH122" s="180"/>
      <c r="BI122" s="148"/>
      <c r="BJ122" s="16"/>
      <c r="BK122" s="50"/>
      <c r="BL122" s="25"/>
      <c r="BN122" s="16"/>
      <c r="BO122" s="50"/>
      <c r="BP122" s="25"/>
      <c r="BR122" s="25"/>
      <c r="BS122" s="110"/>
      <c r="BT122" s="25"/>
    </row>
    <row r="123" spans="1:73" ht="15.6">
      <c r="A123" s="813"/>
      <c r="B123" s="848"/>
      <c r="D123" s="11"/>
      <c r="E123" s="1"/>
      <c r="F123" s="11"/>
      <c r="G123" s="11"/>
      <c r="H123" s="11"/>
      <c r="I123" s="11"/>
      <c r="J123" s="93"/>
      <c r="K123" s="16"/>
      <c r="L123" s="50"/>
      <c r="M123" s="801"/>
      <c r="N123" s="1081"/>
      <c r="O123" s="1128"/>
      <c r="P123" s="1128"/>
      <c r="Q123" s="1081"/>
      <c r="R123" s="207"/>
      <c r="S123" s="562"/>
      <c r="T123" s="25"/>
      <c r="U123" s="25"/>
      <c r="V123" s="25"/>
      <c r="W123" s="207"/>
      <c r="X123" s="562"/>
      <c r="Y123" s="25"/>
      <c r="Z123" s="25"/>
      <c r="AA123" s="25"/>
      <c r="AB123" s="207"/>
      <c r="AC123" s="562"/>
      <c r="AD123" s="25"/>
      <c r="AE123" s="25"/>
      <c r="AF123" s="25"/>
      <c r="AG123" s="207"/>
      <c r="AH123" s="893"/>
      <c r="AI123" s="25"/>
      <c r="AJ123" s="180"/>
      <c r="AK123" s="25"/>
      <c r="AL123" s="207"/>
      <c r="AM123" s="25"/>
      <c r="AN123" s="541"/>
      <c r="AO123" s="600"/>
      <c r="AP123" s="600"/>
      <c r="AQ123" s="601"/>
      <c r="AR123" s="600"/>
      <c r="AS123" s="596"/>
      <c r="AT123" s="25"/>
      <c r="AU123" s="25"/>
      <c r="AV123" s="25"/>
      <c r="AW123" s="25"/>
      <c r="AX123" s="25"/>
      <c r="AY123" s="25"/>
      <c r="AZ123" s="207"/>
      <c r="BA123" s="180"/>
      <c r="BB123" s="25"/>
      <c r="BC123" s="25"/>
      <c r="BD123" s="25"/>
      <c r="BE123" s="25"/>
      <c r="BF123" s="25"/>
      <c r="BG123" s="207"/>
      <c r="BH123" s="180"/>
      <c r="BI123" s="148"/>
      <c r="BJ123" s="16"/>
      <c r="BK123" s="50"/>
      <c r="BL123" s="25"/>
      <c r="BN123" s="16"/>
      <c r="BO123" s="50"/>
      <c r="BP123" s="25"/>
      <c r="BR123" s="25"/>
      <c r="BS123" s="110"/>
      <c r="BT123" s="25"/>
    </row>
    <row r="124" spans="1:73" ht="15.6">
      <c r="D124" s="89" t="s">
        <v>575</v>
      </c>
      <c r="E124" s="74"/>
      <c r="F124" s="89"/>
      <c r="G124" s="89"/>
      <c r="H124" s="89"/>
      <c r="I124" s="89"/>
      <c r="J124" s="26"/>
      <c r="K124" s="45"/>
      <c r="L124" s="1107">
        <f>M124/$K$56</f>
        <v>28.697183098591548</v>
      </c>
      <c r="M124" s="800">
        <f>SUM(M125:M128)</f>
        <v>16300</v>
      </c>
      <c r="N124" s="1096"/>
      <c r="O124" s="1134">
        <f t="shared" ref="O124" si="21">P124/$K$56</f>
        <v>27.732394366197184</v>
      </c>
      <c r="P124" s="1134">
        <f>SUM(P125:P128)</f>
        <v>15752</v>
      </c>
      <c r="Q124" s="1081"/>
      <c r="R124" s="198"/>
      <c r="S124" s="580"/>
      <c r="T124" s="73">
        <f>S115*M124</f>
        <v>0</v>
      </c>
      <c r="U124" s="8"/>
      <c r="V124" s="8"/>
      <c r="W124" s="198"/>
      <c r="X124" s="580"/>
      <c r="Y124" s="73">
        <f>X115*M124</f>
        <v>0</v>
      </c>
      <c r="Z124" s="8"/>
      <c r="AA124" s="8"/>
      <c r="AB124" s="198"/>
      <c r="AC124" s="580"/>
      <c r="AD124" s="73">
        <f>AC115*M124</f>
        <v>0</v>
      </c>
      <c r="AE124" s="8"/>
      <c r="AF124" s="8"/>
      <c r="AG124" s="198"/>
      <c r="AH124" s="889"/>
      <c r="AI124" s="8"/>
      <c r="AJ124" s="516">
        <f>MROUND(M124,1000)</f>
        <v>16000</v>
      </c>
      <c r="AK124" s="8"/>
      <c r="AL124" s="198"/>
      <c r="AM124" s="8"/>
      <c r="AN124" s="534"/>
      <c r="AO124" s="73">
        <f>SUM(AO125:AO128)</f>
        <v>16300</v>
      </c>
      <c r="AP124" s="8"/>
      <c r="AQ124" s="144"/>
      <c r="AR124" s="8"/>
      <c r="AS124" s="497"/>
      <c r="AT124" s="8"/>
      <c r="AU124" s="8"/>
      <c r="AV124" s="8"/>
      <c r="AW124" s="8"/>
      <c r="AX124" s="73">
        <f>SUM(AX125:AX128)</f>
        <v>13500</v>
      </c>
      <c r="AY124" s="8"/>
      <c r="AZ124" s="198"/>
      <c r="BA124" s="144"/>
      <c r="BB124" s="8"/>
      <c r="BC124" s="8"/>
      <c r="BD124" s="8"/>
      <c r="BE124" s="73">
        <f>SUM(BE125:BE128)</f>
        <v>13475</v>
      </c>
      <c r="BF124" s="8"/>
      <c r="BG124" s="198"/>
      <c r="BH124" s="144"/>
      <c r="BI124" s="148"/>
      <c r="BJ124" s="133"/>
      <c r="BK124" s="10"/>
      <c r="BL124" s="8"/>
      <c r="BN124" s="133"/>
      <c r="BO124" s="10"/>
      <c r="BP124" s="8"/>
      <c r="BR124" s="73"/>
      <c r="BS124" s="88"/>
      <c r="BT124" s="23">
        <f>SUM(BT125:BT128)</f>
        <v>13500</v>
      </c>
      <c r="BU124" s="96" t="s">
        <v>0</v>
      </c>
    </row>
    <row r="125" spans="1:73" ht="15.6">
      <c r="A125" s="813"/>
      <c r="B125" s="848" t="s">
        <v>311</v>
      </c>
      <c r="D125" s="11"/>
      <c r="E125" s="1" t="s">
        <v>337</v>
      </c>
      <c r="F125" s="11"/>
      <c r="G125" s="11"/>
      <c r="H125" s="11"/>
      <c r="I125" s="11"/>
      <c r="J125" s="26"/>
      <c r="K125" s="16"/>
      <c r="L125" s="50">
        <f>M125/$K$56</f>
        <v>17.6056338028169</v>
      </c>
      <c r="M125" s="801">
        <v>10000</v>
      </c>
      <c r="N125" s="1081"/>
      <c r="O125" s="1128">
        <f>P125/$K$56</f>
        <v>16.674295774647888</v>
      </c>
      <c r="P125" s="1128">
        <v>9471</v>
      </c>
      <c r="Q125" s="1081"/>
      <c r="R125" s="207"/>
      <c r="S125" s="562"/>
      <c r="T125" s="25">
        <f>S111*M125</f>
        <v>11000</v>
      </c>
      <c r="U125" s="25"/>
      <c r="V125" s="25"/>
      <c r="W125" s="207"/>
      <c r="X125" s="562"/>
      <c r="Y125" s="25">
        <f>X111*M125</f>
        <v>12500</v>
      </c>
      <c r="Z125" s="25"/>
      <c r="AA125" s="25"/>
      <c r="AB125" s="207"/>
      <c r="AC125" s="562"/>
      <c r="AD125" s="25">
        <f>AC111*M125</f>
        <v>15000</v>
      </c>
      <c r="AE125" s="25"/>
      <c r="AF125" s="25"/>
      <c r="AG125" s="207"/>
      <c r="AH125" s="893"/>
      <c r="AI125" s="25"/>
      <c r="AJ125" s="180"/>
      <c r="AK125" s="25"/>
      <c r="AL125" s="207"/>
      <c r="AM125" s="25"/>
      <c r="AN125" s="541"/>
      <c r="AO125" s="600">
        <v>10000</v>
      </c>
      <c r="AP125" s="600"/>
      <c r="AQ125" s="601" t="s">
        <v>164</v>
      </c>
      <c r="AR125" s="600"/>
      <c r="AS125" s="596">
        <f>AO125-T125</f>
        <v>-1000</v>
      </c>
      <c r="AT125" s="25"/>
      <c r="AU125" s="25"/>
      <c r="AV125" s="25"/>
      <c r="AW125" s="25"/>
      <c r="AX125" s="25">
        <v>8000</v>
      </c>
      <c r="AY125" s="25"/>
      <c r="AZ125" s="207"/>
      <c r="BA125" s="180"/>
      <c r="BB125" s="25"/>
      <c r="BC125" s="25"/>
      <c r="BD125" s="25"/>
      <c r="BE125" s="25">
        <v>7354</v>
      </c>
      <c r="BF125" s="25"/>
      <c r="BG125" s="207"/>
      <c r="BH125" s="180"/>
      <c r="BI125" s="148"/>
      <c r="BJ125" s="16"/>
      <c r="BK125" s="50"/>
      <c r="BL125" s="25"/>
      <c r="BN125" s="16"/>
      <c r="BO125" s="50"/>
      <c r="BP125" s="25"/>
      <c r="BR125" s="25"/>
      <c r="BS125" s="110">
        <f>BT125/BR$55</f>
        <v>11.049723756906078</v>
      </c>
      <c r="BT125" s="25">
        <v>8000</v>
      </c>
    </row>
    <row r="126" spans="1:73" ht="15.6">
      <c r="A126" s="813"/>
      <c r="B126" s="848" t="s">
        <v>312</v>
      </c>
      <c r="D126" s="11"/>
      <c r="E126" s="1" t="s">
        <v>338</v>
      </c>
      <c r="F126" s="11"/>
      <c r="G126" s="11"/>
      <c r="H126" s="11"/>
      <c r="I126" s="11"/>
      <c r="J126" s="26"/>
      <c r="K126" s="16"/>
      <c r="L126" s="50">
        <f>M126/$K$56</f>
        <v>5.8098591549295771</v>
      </c>
      <c r="M126" s="801">
        <v>3300</v>
      </c>
      <c r="N126" s="1081"/>
      <c r="O126" s="1128">
        <f>P126/$K$56</f>
        <v>5.7130281690140849</v>
      </c>
      <c r="P126" s="1128">
        <v>3245</v>
      </c>
      <c r="Q126" s="1081"/>
      <c r="R126" s="207"/>
      <c r="S126" s="562"/>
      <c r="T126" s="25">
        <f>S111*M126</f>
        <v>3630.0000000000005</v>
      </c>
      <c r="U126" s="25"/>
      <c r="V126" s="25"/>
      <c r="W126" s="207"/>
      <c r="X126" s="562"/>
      <c r="Y126" s="25">
        <f>X111*M126</f>
        <v>4125</v>
      </c>
      <c r="Z126" s="25"/>
      <c r="AA126" s="25"/>
      <c r="AB126" s="207"/>
      <c r="AC126" s="562"/>
      <c r="AD126" s="25">
        <f>AC111*M126</f>
        <v>4950</v>
      </c>
      <c r="AE126" s="25"/>
      <c r="AF126" s="25"/>
      <c r="AG126" s="207"/>
      <c r="AH126" s="893"/>
      <c r="AI126" s="25"/>
      <c r="AJ126" s="180"/>
      <c r="AK126" s="25"/>
      <c r="AL126" s="207"/>
      <c r="AM126" s="25"/>
      <c r="AN126" s="541"/>
      <c r="AO126" s="600">
        <v>3300</v>
      </c>
      <c r="AP126" s="600"/>
      <c r="AQ126" s="601" t="s">
        <v>164</v>
      </c>
      <c r="AR126" s="600"/>
      <c r="AS126" s="596">
        <f>AO126-T126</f>
        <v>-330.00000000000045</v>
      </c>
      <c r="AT126" s="25"/>
      <c r="AU126" s="25"/>
      <c r="AV126" s="25"/>
      <c r="AW126" s="25"/>
      <c r="AX126" s="25">
        <v>2500</v>
      </c>
      <c r="AY126" s="25"/>
      <c r="AZ126" s="207"/>
      <c r="BA126" s="180"/>
      <c r="BB126" s="25"/>
      <c r="BC126" s="25"/>
      <c r="BD126" s="25"/>
      <c r="BE126" s="25">
        <v>3134</v>
      </c>
      <c r="BF126" s="25"/>
      <c r="BG126" s="207"/>
      <c r="BH126" s="180"/>
      <c r="BI126" s="148"/>
      <c r="BJ126" s="16"/>
      <c r="BK126" s="50"/>
      <c r="BL126" s="25"/>
      <c r="BN126" s="16"/>
      <c r="BO126" s="50"/>
      <c r="BP126" s="25"/>
      <c r="BR126" s="25"/>
      <c r="BS126" s="110">
        <f>BT126/BR$55</f>
        <v>3.4530386740331491</v>
      </c>
      <c r="BT126" s="25">
        <v>2500</v>
      </c>
    </row>
    <row r="127" spans="1:73" ht="15.6">
      <c r="A127" s="813"/>
      <c r="B127" s="848" t="s">
        <v>313</v>
      </c>
      <c r="D127" s="11"/>
      <c r="E127" s="1" t="s">
        <v>576</v>
      </c>
      <c r="F127" s="11"/>
      <c r="G127" s="11"/>
      <c r="H127" s="11"/>
      <c r="I127" s="11"/>
      <c r="J127" s="26"/>
      <c r="K127" s="16"/>
      <c r="L127" s="50">
        <f t="shared" ref="L127" si="22">M127/$K$56</f>
        <v>5.28169014084507</v>
      </c>
      <c r="M127" s="801">
        <v>3000</v>
      </c>
      <c r="N127" s="1081"/>
      <c r="O127" s="1128">
        <f>P127/$K$56</f>
        <v>5.345070422535211</v>
      </c>
      <c r="P127" s="1128">
        <v>3036</v>
      </c>
      <c r="Q127" s="1081"/>
      <c r="R127" s="207"/>
      <c r="S127" s="562"/>
      <c r="T127" s="25">
        <f>S111*M127</f>
        <v>3300.0000000000005</v>
      </c>
      <c r="U127" s="25"/>
      <c r="V127" s="25"/>
      <c r="W127" s="207"/>
      <c r="X127" s="562"/>
      <c r="Y127" s="25">
        <f>X111*M127</f>
        <v>3750</v>
      </c>
      <c r="Z127" s="25"/>
      <c r="AA127" s="25"/>
      <c r="AB127" s="207"/>
      <c r="AC127" s="562"/>
      <c r="AD127" s="25">
        <f>AC111*M127</f>
        <v>4500</v>
      </c>
      <c r="AE127" s="25"/>
      <c r="AF127" s="25"/>
      <c r="AG127" s="207"/>
      <c r="AH127" s="893"/>
      <c r="AI127" s="25"/>
      <c r="AJ127" s="180"/>
      <c r="AK127" s="25"/>
      <c r="AL127" s="207"/>
      <c r="AM127" s="25"/>
      <c r="AN127" s="541"/>
      <c r="AO127" s="600">
        <v>3000</v>
      </c>
      <c r="AP127" s="600"/>
      <c r="AQ127" s="601" t="s">
        <v>164</v>
      </c>
      <c r="AR127" s="600"/>
      <c r="AS127" s="596">
        <f>AO127-T127</f>
        <v>-300.00000000000045</v>
      </c>
      <c r="AT127" s="25"/>
      <c r="AU127" s="25"/>
      <c r="AV127" s="25"/>
      <c r="AW127" s="25"/>
      <c r="AX127" s="25">
        <v>3000</v>
      </c>
      <c r="AY127" s="25"/>
      <c r="AZ127" s="207"/>
      <c r="BA127" s="180"/>
      <c r="BB127" s="25"/>
      <c r="BC127" s="25"/>
      <c r="BD127" s="25"/>
      <c r="BE127" s="25">
        <v>2987</v>
      </c>
      <c r="BF127" s="25"/>
      <c r="BG127" s="207"/>
      <c r="BH127" s="180"/>
      <c r="BI127" s="148"/>
      <c r="BJ127" s="16"/>
      <c r="BK127" s="50"/>
      <c r="BL127" s="25"/>
      <c r="BN127" s="16"/>
      <c r="BO127" s="50"/>
      <c r="BP127" s="25"/>
      <c r="BR127" s="25"/>
      <c r="BS127" s="110">
        <f>BT127/BR$55</f>
        <v>4.1436464088397793</v>
      </c>
      <c r="BT127" s="25">
        <v>3000</v>
      </c>
      <c r="BU127" s="96" t="s">
        <v>0</v>
      </c>
    </row>
    <row r="128" spans="1:73" ht="13.8">
      <c r="D128" s="6"/>
      <c r="E128" s="51"/>
      <c r="F128" s="6"/>
      <c r="G128" s="6"/>
      <c r="H128" s="6"/>
      <c r="I128" s="6"/>
      <c r="J128" s="91"/>
      <c r="K128" s="16"/>
      <c r="L128" s="6"/>
      <c r="M128" s="11"/>
      <c r="N128" s="1090"/>
      <c r="O128" s="1141" t="s">
        <v>0</v>
      </c>
      <c r="P128" s="1141"/>
      <c r="Q128" s="1090"/>
      <c r="R128" s="202"/>
      <c r="S128" s="562"/>
      <c r="T128" s="11"/>
      <c r="U128" s="11"/>
      <c r="V128" s="11"/>
      <c r="W128" s="202"/>
      <c r="X128" s="11"/>
      <c r="Y128" s="11"/>
      <c r="Z128" s="11"/>
      <c r="AA128" s="11"/>
      <c r="AB128" s="202"/>
      <c r="AC128" s="11"/>
      <c r="AD128" s="11"/>
      <c r="AE128" s="11"/>
      <c r="AF128" s="11"/>
      <c r="AG128" s="202"/>
      <c r="AH128" s="893"/>
      <c r="AI128" s="11"/>
      <c r="AJ128" s="26"/>
      <c r="AK128" s="11"/>
      <c r="AL128" s="202"/>
      <c r="AM128" s="11"/>
      <c r="AN128" s="538"/>
      <c r="AO128" s="11"/>
      <c r="AP128" s="11"/>
      <c r="AQ128" s="26"/>
      <c r="AR128" s="11"/>
      <c r="AS128" s="501"/>
      <c r="AT128" s="11"/>
      <c r="AU128" s="11"/>
      <c r="AV128" s="11"/>
      <c r="AW128" s="11"/>
      <c r="AX128" s="11"/>
      <c r="AY128" s="11"/>
      <c r="AZ128" s="202"/>
      <c r="BA128" s="26"/>
      <c r="BB128" s="11"/>
      <c r="BC128" s="11"/>
      <c r="BD128" s="11"/>
      <c r="BE128" s="11"/>
      <c r="BF128" s="11"/>
      <c r="BG128" s="202"/>
      <c r="BH128" s="26"/>
      <c r="BI128" s="148"/>
      <c r="BJ128" s="16"/>
      <c r="BK128" s="6"/>
      <c r="BL128" s="11"/>
      <c r="BN128" s="16"/>
      <c r="BO128" s="6"/>
      <c r="BP128" s="11"/>
      <c r="BR128" s="11"/>
      <c r="BS128" s="11"/>
      <c r="BT128" s="11"/>
    </row>
    <row r="129" spans="1:72" ht="15.6">
      <c r="A129" s="60"/>
      <c r="B129" s="855" t="s">
        <v>344</v>
      </c>
      <c r="C129" s="59" t="s">
        <v>345</v>
      </c>
      <c r="D129" s="59"/>
      <c r="E129" s="60"/>
      <c r="F129" s="59"/>
      <c r="G129" s="59"/>
      <c r="H129" s="59"/>
      <c r="I129" s="59"/>
      <c r="J129" s="10"/>
      <c r="K129" s="61"/>
      <c r="L129" s="1109">
        <f>M129/$K$56</f>
        <v>148.67957746478874</v>
      </c>
      <c r="M129" s="62">
        <f>M130+M152+M140+M135</f>
        <v>84450</v>
      </c>
      <c r="N129" s="1087"/>
      <c r="O129" s="1144">
        <f t="shared" si="13"/>
        <v>194.03521126760563</v>
      </c>
      <c r="P129" s="1144">
        <f>P130+P152+P140+P135</f>
        <v>110212</v>
      </c>
      <c r="Q129" s="1087"/>
      <c r="R129" s="215"/>
      <c r="S129" s="572">
        <v>1.1000000000000001</v>
      </c>
      <c r="T129" s="62">
        <f>S129*M129</f>
        <v>92895.000000000015</v>
      </c>
      <c r="U129" s="62"/>
      <c r="V129" s="62"/>
      <c r="W129" s="215"/>
      <c r="X129" s="572">
        <v>1.25</v>
      </c>
      <c r="Y129" s="62">
        <f>X129*M129</f>
        <v>105562.5</v>
      </c>
      <c r="Z129" s="62"/>
      <c r="AA129" s="62"/>
      <c r="AB129" s="215"/>
      <c r="AC129" s="572">
        <v>1.5</v>
      </c>
      <c r="AD129" s="62">
        <f>AC129*M129</f>
        <v>126675</v>
      </c>
      <c r="AE129" s="62"/>
      <c r="AF129" s="62"/>
      <c r="AG129" s="215"/>
      <c r="AH129" s="907">
        <f>_xlfn.PERCENTOF(M129,M176)</f>
        <v>7.2327232551965132E-2</v>
      </c>
      <c r="AI129" s="62"/>
      <c r="AJ129" s="517">
        <f>MROUND(M129,1000)</f>
        <v>84000</v>
      </c>
      <c r="AK129" s="62"/>
      <c r="AL129" s="215"/>
      <c r="AM129" s="62"/>
      <c r="AN129" s="548"/>
      <c r="AO129" s="62">
        <f>SUM(AO132:AO156)</f>
        <v>73950</v>
      </c>
      <c r="AP129" s="62"/>
      <c r="AQ129" s="517"/>
      <c r="AR129" s="62"/>
      <c r="AS129" s="172">
        <f>AO129-T129</f>
        <v>-18945.000000000015</v>
      </c>
      <c r="AT129" s="62"/>
      <c r="AU129" s="8"/>
      <c r="AV129" s="8"/>
      <c r="AW129" s="62"/>
      <c r="AX129" s="62">
        <f>SUM(AX132:AX155)</f>
        <v>92672</v>
      </c>
      <c r="AY129" s="62"/>
      <c r="AZ129" s="215"/>
      <c r="BA129" s="187">
        <f>M129-AX129</f>
        <v>-8222</v>
      </c>
      <c r="BB129" s="8"/>
      <c r="BC129" s="8"/>
      <c r="BD129" s="62"/>
      <c r="BE129" s="62">
        <f>SUM(BE132:BE155)</f>
        <v>110934</v>
      </c>
      <c r="BF129" s="62"/>
      <c r="BG129" s="215"/>
      <c r="BH129" s="187">
        <f>M129-BE129</f>
        <v>-26484</v>
      </c>
      <c r="BI129" s="147"/>
      <c r="BJ129" s="146"/>
      <c r="BK129" s="6"/>
      <c r="BL129" s="8"/>
      <c r="BN129" s="6"/>
      <c r="BO129" s="6"/>
      <c r="BP129" s="8"/>
      <c r="BR129" s="62"/>
      <c r="BS129" s="62"/>
      <c r="BT129" s="62">
        <f>SUM(BT132:BT155)</f>
        <v>92672.000000000015</v>
      </c>
    </row>
    <row r="130" spans="1:72" ht="15.6">
      <c r="A130" s="815"/>
      <c r="B130" s="848"/>
      <c r="C130" s="760"/>
      <c r="D130" s="89" t="s">
        <v>567</v>
      </c>
      <c r="E130" s="74"/>
      <c r="F130" s="89"/>
      <c r="G130" s="89"/>
      <c r="H130" s="760"/>
      <c r="I130" s="760"/>
      <c r="J130" s="10"/>
      <c r="K130" s="72"/>
      <c r="L130" s="1107">
        <f>M130/$K$56</f>
        <v>24.64788732394366</v>
      </c>
      <c r="M130" s="73">
        <f>SUM(M131:M132)</f>
        <v>14000</v>
      </c>
      <c r="N130" s="1088"/>
      <c r="O130" s="1134">
        <f t="shared" si="13"/>
        <v>29.181338028169016</v>
      </c>
      <c r="P130" s="1134">
        <v>16575</v>
      </c>
      <c r="Q130" s="1087"/>
      <c r="R130" s="198"/>
      <c r="S130" s="580"/>
      <c r="T130" s="73">
        <f>S129*M130</f>
        <v>15400.000000000002</v>
      </c>
      <c r="U130" s="8"/>
      <c r="V130" s="8"/>
      <c r="W130" s="198"/>
      <c r="X130" s="580"/>
      <c r="Y130" s="73">
        <f>X129*M130</f>
        <v>17500</v>
      </c>
      <c r="Z130" s="8"/>
      <c r="AA130" s="8"/>
      <c r="AB130" s="198"/>
      <c r="AC130" s="580"/>
      <c r="AD130" s="73">
        <f>AC129*M130</f>
        <v>21000</v>
      </c>
      <c r="AE130" s="8"/>
      <c r="AF130" s="8"/>
      <c r="AG130" s="198"/>
      <c r="AH130" s="889"/>
      <c r="AI130" s="8"/>
      <c r="AJ130" s="517">
        <f>MROUND(M130,1000)</f>
        <v>14000</v>
      </c>
      <c r="AK130" s="8"/>
      <c r="AL130" s="198"/>
      <c r="AM130" s="8"/>
      <c r="AN130" s="534"/>
      <c r="AO130" s="8"/>
      <c r="AP130" s="8"/>
      <c r="AQ130" s="144"/>
      <c r="AR130" s="8"/>
      <c r="AS130" s="497"/>
      <c r="AT130" s="8"/>
      <c r="AU130" s="8"/>
      <c r="AV130" s="8"/>
      <c r="AW130" s="8"/>
      <c r="AX130" s="8"/>
      <c r="AY130" s="8"/>
      <c r="AZ130" s="198"/>
      <c r="BA130" s="790"/>
      <c r="BB130" s="8"/>
      <c r="BC130" s="8"/>
      <c r="BD130" s="8"/>
      <c r="BE130" s="8"/>
      <c r="BF130" s="8"/>
      <c r="BG130" s="198"/>
      <c r="BH130" s="790"/>
      <c r="BI130" s="778"/>
      <c r="BJ130" s="146"/>
      <c r="BK130" s="6"/>
      <c r="BL130" s="8"/>
      <c r="BN130" s="6"/>
      <c r="BO130" s="6"/>
      <c r="BP130" s="8"/>
      <c r="BR130" s="8"/>
      <c r="BS130" s="8"/>
      <c r="BT130" s="8"/>
    </row>
    <row r="131" spans="1:72" ht="15.6">
      <c r="A131" s="814"/>
      <c r="B131" s="848" t="s">
        <v>353</v>
      </c>
      <c r="D131" s="11"/>
      <c r="E131" s="1" t="s">
        <v>354</v>
      </c>
      <c r="F131" s="11"/>
      <c r="G131" s="11"/>
      <c r="H131" s="11"/>
      <c r="I131" s="11"/>
      <c r="J131" s="26"/>
      <c r="K131" s="25"/>
      <c r="L131" s="1080">
        <f>M131/$K$56</f>
        <v>8.8028169014084501</v>
      </c>
      <c r="M131" s="1081">
        <v>5000</v>
      </c>
      <c r="N131" s="1081"/>
      <c r="O131" s="1128">
        <f t="shared" si="13"/>
        <v>9.4947183098591541</v>
      </c>
      <c r="P131" s="1128">
        <v>5393</v>
      </c>
      <c r="Q131" s="1081"/>
      <c r="R131" s="207"/>
      <c r="S131" s="562"/>
      <c r="T131" s="25">
        <f>S129*M131</f>
        <v>5500</v>
      </c>
      <c r="U131" s="25"/>
      <c r="V131" s="25"/>
      <c r="W131" s="207"/>
      <c r="X131" s="562"/>
      <c r="Y131" s="25">
        <f>X129*M131</f>
        <v>6250</v>
      </c>
      <c r="Z131" s="25"/>
      <c r="AA131" s="25"/>
      <c r="AB131" s="207"/>
      <c r="AC131" s="25"/>
      <c r="AD131" s="25">
        <f>AC129*M131</f>
        <v>7500</v>
      </c>
      <c r="AE131" s="25"/>
      <c r="AF131" s="25"/>
      <c r="AG131" s="207"/>
      <c r="AH131" s="893"/>
      <c r="AI131" s="25"/>
      <c r="AJ131" s="180"/>
      <c r="AK131" s="25"/>
      <c r="AL131" s="207"/>
      <c r="AM131" s="25"/>
      <c r="AN131" s="541"/>
      <c r="AO131" s="600">
        <v>4000</v>
      </c>
      <c r="AP131" s="600"/>
      <c r="AQ131" s="601" t="s">
        <v>163</v>
      </c>
      <c r="AR131" s="600"/>
      <c r="AS131" s="596">
        <f>AO131-T131</f>
        <v>-1500</v>
      </c>
      <c r="AT131" s="25"/>
      <c r="AU131" s="25"/>
      <c r="AV131" s="25"/>
      <c r="AW131" s="25"/>
      <c r="AX131" s="25"/>
      <c r="AY131" s="25"/>
      <c r="AZ131" s="207"/>
      <c r="BA131" s="180"/>
      <c r="BB131" s="25"/>
      <c r="BC131" s="25"/>
      <c r="BD131" s="25"/>
      <c r="BE131" s="25"/>
      <c r="BF131" s="25"/>
      <c r="BG131" s="207"/>
      <c r="BH131" s="180"/>
      <c r="BI131" s="148"/>
      <c r="BJ131" s="25"/>
      <c r="BK131" s="50"/>
      <c r="BL131" s="25"/>
      <c r="BN131" s="25"/>
      <c r="BO131" s="50"/>
      <c r="BP131" s="25"/>
      <c r="BR131" s="25"/>
      <c r="BS131" s="50"/>
      <c r="BT131" s="25"/>
    </row>
    <row r="132" spans="1:72" ht="15.6">
      <c r="A132" s="815"/>
      <c r="B132" s="848" t="s">
        <v>346</v>
      </c>
      <c r="D132" s="11"/>
      <c r="E132" s="1" t="s">
        <v>380</v>
      </c>
      <c r="F132" s="11"/>
      <c r="G132" s="11"/>
      <c r="H132" s="11"/>
      <c r="I132" s="11"/>
      <c r="J132" s="26"/>
      <c r="K132" s="25" t="s">
        <v>0</v>
      </c>
      <c r="L132" s="1080">
        <f t="shared" ref="L132:L149" si="23">M132/$K$56</f>
        <v>15.845070422535212</v>
      </c>
      <c r="M132" s="1081">
        <v>9000</v>
      </c>
      <c r="N132" s="1081"/>
      <c r="O132" s="1128">
        <f t="shared" si="13"/>
        <v>19.68661971830986</v>
      </c>
      <c r="P132" s="1128">
        <f>P130-P131</f>
        <v>11182</v>
      </c>
      <c r="Q132" s="1087"/>
      <c r="R132" s="207"/>
      <c r="S132" s="562"/>
      <c r="T132" s="25">
        <f>S129*M132</f>
        <v>9900</v>
      </c>
      <c r="U132" s="25"/>
      <c r="V132" s="25"/>
      <c r="W132" s="207"/>
      <c r="X132" s="562"/>
      <c r="Y132" s="25">
        <f>X129*M132</f>
        <v>11250</v>
      </c>
      <c r="Z132" s="25"/>
      <c r="AA132" s="25"/>
      <c r="AB132" s="207"/>
      <c r="AC132" s="25"/>
      <c r="AD132" s="25">
        <f>AC129*M132</f>
        <v>13500</v>
      </c>
      <c r="AE132" s="25"/>
      <c r="AF132" s="25"/>
      <c r="AG132" s="207"/>
      <c r="AH132" s="893"/>
      <c r="AI132" s="25"/>
      <c r="AJ132" s="180"/>
      <c r="AK132" s="25"/>
      <c r="AL132" s="207"/>
      <c r="AM132" s="25"/>
      <c r="AN132" s="541"/>
      <c r="AO132" s="600">
        <v>8000</v>
      </c>
      <c r="AP132" s="600"/>
      <c r="AQ132" s="601" t="s">
        <v>163</v>
      </c>
      <c r="AR132" s="600"/>
      <c r="AS132" s="596">
        <f t="shared" ref="AS132:AS147" si="24">AO132-T132</f>
        <v>-1900</v>
      </c>
      <c r="AT132" s="25"/>
      <c r="AU132" s="25"/>
      <c r="AV132" s="25"/>
      <c r="AW132" s="25"/>
      <c r="AX132" s="25">
        <v>17955</v>
      </c>
      <c r="AY132" s="25"/>
      <c r="AZ132" s="207"/>
      <c r="BA132" s="180"/>
      <c r="BB132" s="25"/>
      <c r="BC132" s="25"/>
      <c r="BD132" s="25"/>
      <c r="BE132" s="25">
        <v>22635</v>
      </c>
      <c r="BF132" s="25"/>
      <c r="BG132" s="207"/>
      <c r="BH132" s="180"/>
      <c r="BI132" s="148"/>
      <c r="BJ132" s="25"/>
      <c r="BK132" s="50"/>
      <c r="BL132" s="25"/>
      <c r="BN132" s="25"/>
      <c r="BO132" s="50"/>
      <c r="BP132" s="25"/>
      <c r="BR132" s="25"/>
      <c r="BS132" s="50">
        <v>24.8</v>
      </c>
      <c r="BT132" s="25">
        <f>BS132*BR$55</f>
        <v>17955.2</v>
      </c>
    </row>
    <row r="133" spans="1:72" ht="15.6">
      <c r="A133" s="815"/>
      <c r="B133" s="848"/>
      <c r="D133" s="11"/>
      <c r="E133" s="1" t="s">
        <v>571</v>
      </c>
      <c r="F133" s="11"/>
      <c r="G133" s="11"/>
      <c r="H133" s="11"/>
      <c r="I133" s="11"/>
      <c r="J133" s="26"/>
      <c r="K133" s="25"/>
      <c r="L133" s="1080"/>
      <c r="M133" s="1081"/>
      <c r="N133" s="1081"/>
      <c r="O133" s="1128"/>
      <c r="P133" s="1128"/>
      <c r="Q133" s="1087"/>
      <c r="R133" s="207"/>
      <c r="S133" s="562"/>
      <c r="T133" s="25"/>
      <c r="U133" s="25"/>
      <c r="V133" s="25"/>
      <c r="W133" s="207"/>
      <c r="X133" s="562"/>
      <c r="Y133" s="25"/>
      <c r="Z133" s="25"/>
      <c r="AA133" s="25"/>
      <c r="AB133" s="207"/>
      <c r="AC133" s="25"/>
      <c r="AD133" s="25"/>
      <c r="AE133" s="25"/>
      <c r="AF133" s="25"/>
      <c r="AG133" s="207"/>
      <c r="AH133" s="893"/>
      <c r="AI133" s="25"/>
      <c r="AJ133" s="180"/>
      <c r="AK133" s="25"/>
      <c r="AL133" s="207"/>
      <c r="AM133" s="25"/>
      <c r="AN133" s="541"/>
      <c r="AO133" s="600"/>
      <c r="AP133" s="600"/>
      <c r="AQ133" s="601"/>
      <c r="AR133" s="600"/>
      <c r="AS133" s="596"/>
      <c r="AT133" s="25"/>
      <c r="AU133" s="25"/>
      <c r="AV133" s="25"/>
      <c r="AW133" s="25"/>
      <c r="AX133" s="25"/>
      <c r="AY133" s="25"/>
      <c r="AZ133" s="207"/>
      <c r="BA133" s="180"/>
      <c r="BB133" s="25"/>
      <c r="BC133" s="25"/>
      <c r="BD133" s="25"/>
      <c r="BE133" s="25"/>
      <c r="BF133" s="25"/>
      <c r="BG133" s="207"/>
      <c r="BH133" s="180"/>
      <c r="BI133" s="148"/>
      <c r="BJ133" s="25"/>
      <c r="BK133" s="50"/>
      <c r="BL133" s="25"/>
      <c r="BN133" s="25"/>
      <c r="BO133" s="50"/>
      <c r="BP133" s="25"/>
      <c r="BR133" s="25"/>
      <c r="BS133" s="50"/>
      <c r="BT133" s="25"/>
    </row>
    <row r="134" spans="1:72" ht="15.6">
      <c r="A134" s="815"/>
      <c r="B134" s="848"/>
      <c r="D134" s="11"/>
      <c r="E134" s="1"/>
      <c r="F134" s="11"/>
      <c r="G134" s="11"/>
      <c r="H134" s="11"/>
      <c r="I134" s="11"/>
      <c r="J134" s="26"/>
      <c r="K134" s="25"/>
      <c r="L134" s="1080"/>
      <c r="M134" s="1081"/>
      <c r="N134" s="1081"/>
      <c r="O134" s="1128"/>
      <c r="P134" s="1128"/>
      <c r="Q134" s="1087"/>
      <c r="R134" s="207"/>
      <c r="S134" s="562"/>
      <c r="T134" s="25"/>
      <c r="U134" s="25"/>
      <c r="V134" s="25"/>
      <c r="W134" s="207"/>
      <c r="X134" s="562"/>
      <c r="Y134" s="25"/>
      <c r="Z134" s="25"/>
      <c r="AA134" s="25"/>
      <c r="AB134" s="207"/>
      <c r="AC134" s="25"/>
      <c r="AD134" s="25"/>
      <c r="AE134" s="25"/>
      <c r="AF134" s="25"/>
      <c r="AG134" s="207"/>
      <c r="AH134" s="893"/>
      <c r="AI134" s="25"/>
      <c r="AJ134" s="180"/>
      <c r="AK134" s="25"/>
      <c r="AL134" s="207"/>
      <c r="AM134" s="25"/>
      <c r="AN134" s="541"/>
      <c r="AO134" s="600"/>
      <c r="AP134" s="600"/>
      <c r="AQ134" s="601"/>
      <c r="AR134" s="600"/>
      <c r="AS134" s="596"/>
      <c r="AT134" s="25"/>
      <c r="AU134" s="25"/>
      <c r="AV134" s="25"/>
      <c r="AW134" s="25"/>
      <c r="AX134" s="25"/>
      <c r="AY134" s="25"/>
      <c r="AZ134" s="207"/>
      <c r="BA134" s="180"/>
      <c r="BB134" s="25"/>
      <c r="BC134" s="25"/>
      <c r="BD134" s="25"/>
      <c r="BE134" s="25"/>
      <c r="BF134" s="25"/>
      <c r="BG134" s="207"/>
      <c r="BH134" s="180"/>
      <c r="BI134" s="148"/>
      <c r="BJ134" s="25"/>
      <c r="BK134" s="50"/>
      <c r="BL134" s="25"/>
      <c r="BN134" s="25"/>
      <c r="BO134" s="50"/>
      <c r="BP134" s="25"/>
      <c r="BR134" s="25"/>
      <c r="BS134" s="50"/>
      <c r="BT134" s="25"/>
    </row>
    <row r="135" spans="1:72" ht="15.6">
      <c r="A135" s="815"/>
      <c r="B135" s="848" t="s">
        <v>347</v>
      </c>
      <c r="D135" s="89" t="s">
        <v>568</v>
      </c>
      <c r="E135" s="74"/>
      <c r="F135" s="75"/>
      <c r="G135" s="75"/>
      <c r="H135" s="11"/>
      <c r="I135" s="11"/>
      <c r="J135" s="26"/>
      <c r="K135" s="72"/>
      <c r="L135" s="1107">
        <f>M135/$K$56</f>
        <v>7.922535211267606</v>
      </c>
      <c r="M135" s="73">
        <f>SUM(M136:M137)</f>
        <v>4500</v>
      </c>
      <c r="N135" s="1088"/>
      <c r="O135" s="1134">
        <f t="shared" ref="O135" si="25">P135/$K$56</f>
        <v>8.475352112676056</v>
      </c>
      <c r="P135" s="1134">
        <f>SUM(P136:P137)</f>
        <v>4814</v>
      </c>
      <c r="Q135" s="1087"/>
      <c r="R135" s="207"/>
      <c r="S135" s="562"/>
      <c r="T135" s="25"/>
      <c r="U135" s="25"/>
      <c r="V135" s="25"/>
      <c r="W135" s="207"/>
      <c r="X135" s="562"/>
      <c r="Y135" s="25"/>
      <c r="Z135" s="25"/>
      <c r="AA135" s="25"/>
      <c r="AB135" s="207"/>
      <c r="AC135" s="25"/>
      <c r="AD135" s="25"/>
      <c r="AE135" s="25"/>
      <c r="AF135" s="25"/>
      <c r="AG135" s="207"/>
      <c r="AH135" s="893"/>
      <c r="AI135" s="25"/>
      <c r="AJ135" s="180"/>
      <c r="AK135" s="25"/>
      <c r="AL135" s="207"/>
      <c r="AM135" s="25"/>
      <c r="AN135" s="541"/>
      <c r="AO135" s="600"/>
      <c r="AP135" s="600"/>
      <c r="AQ135" s="601"/>
      <c r="AR135" s="600"/>
      <c r="AS135" s="596"/>
      <c r="AT135" s="25"/>
      <c r="AU135" s="25"/>
      <c r="AV135" s="25"/>
      <c r="AW135" s="25"/>
      <c r="AX135" s="25"/>
      <c r="AY135" s="25"/>
      <c r="AZ135" s="207"/>
      <c r="BA135" s="180"/>
      <c r="BB135" s="25"/>
      <c r="BC135" s="25"/>
      <c r="BD135" s="25"/>
      <c r="BE135" s="25"/>
      <c r="BF135" s="25"/>
      <c r="BG135" s="207"/>
      <c r="BH135" s="180"/>
      <c r="BI135" s="148"/>
      <c r="BJ135" s="25"/>
      <c r="BK135" s="50"/>
      <c r="BL135" s="25"/>
      <c r="BN135" s="25"/>
      <c r="BO135" s="50"/>
      <c r="BP135" s="25"/>
      <c r="BR135" s="25"/>
      <c r="BS135" s="50"/>
      <c r="BT135" s="25"/>
    </row>
    <row r="136" spans="1:72" ht="15.6">
      <c r="A136" s="815"/>
      <c r="B136" s="848"/>
      <c r="D136" s="11"/>
      <c r="E136" s="1" t="s">
        <v>569</v>
      </c>
      <c r="F136" s="11"/>
      <c r="G136" s="11"/>
      <c r="H136" s="11"/>
      <c r="I136" s="11"/>
      <c r="J136" s="26"/>
      <c r="K136" s="25"/>
      <c r="L136" s="1080">
        <f>M136/$K$56</f>
        <v>3.5211267605633805</v>
      </c>
      <c r="M136" s="1081">
        <v>2000</v>
      </c>
      <c r="N136" s="1081"/>
      <c r="O136" s="1128">
        <f>P136/$K$56</f>
        <v>3.857394366197183</v>
      </c>
      <c r="P136" s="1128">
        <v>2191</v>
      </c>
      <c r="Q136" s="1087"/>
      <c r="R136" s="207"/>
      <c r="S136" s="562"/>
      <c r="T136" s="25"/>
      <c r="U136" s="25"/>
      <c r="V136" s="25"/>
      <c r="W136" s="207"/>
      <c r="X136" s="562"/>
      <c r="Y136" s="25"/>
      <c r="Z136" s="25"/>
      <c r="AA136" s="25"/>
      <c r="AB136" s="207"/>
      <c r="AC136" s="25"/>
      <c r="AD136" s="25"/>
      <c r="AE136" s="25"/>
      <c r="AF136" s="25"/>
      <c r="AG136" s="207"/>
      <c r="AH136" s="893"/>
      <c r="AI136" s="25"/>
      <c r="AJ136" s="180"/>
      <c r="AK136" s="25"/>
      <c r="AL136" s="207"/>
      <c r="AM136" s="25"/>
      <c r="AN136" s="541"/>
      <c r="AO136" s="600"/>
      <c r="AP136" s="600"/>
      <c r="AQ136" s="601"/>
      <c r="AR136" s="600"/>
      <c r="AS136" s="596"/>
      <c r="AT136" s="25"/>
      <c r="AU136" s="25"/>
      <c r="AV136" s="25"/>
      <c r="AW136" s="25"/>
      <c r="AX136" s="25"/>
      <c r="AY136" s="25"/>
      <c r="AZ136" s="207"/>
      <c r="BA136" s="180"/>
      <c r="BB136" s="25"/>
      <c r="BC136" s="25"/>
      <c r="BD136" s="25"/>
      <c r="BE136" s="25"/>
      <c r="BF136" s="25"/>
      <c r="BG136" s="207"/>
      <c r="BH136" s="180"/>
      <c r="BI136" s="148"/>
      <c r="BJ136" s="25"/>
      <c r="BK136" s="50"/>
      <c r="BL136" s="25"/>
      <c r="BN136" s="25"/>
      <c r="BO136" s="50"/>
      <c r="BP136" s="25"/>
      <c r="BR136" s="25"/>
      <c r="BS136" s="50"/>
      <c r="BT136" s="25"/>
    </row>
    <row r="137" spans="1:72" ht="15.6">
      <c r="A137" s="815"/>
      <c r="B137" s="848"/>
      <c r="D137" s="11"/>
      <c r="E137" s="1" t="s">
        <v>355</v>
      </c>
      <c r="F137" s="11"/>
      <c r="G137" s="11"/>
      <c r="H137" s="11"/>
      <c r="I137" s="11"/>
      <c r="J137" s="26"/>
      <c r="K137" s="25"/>
      <c r="L137" s="1080">
        <f>M137/$K$56</f>
        <v>4.401408450704225</v>
      </c>
      <c r="M137" s="1081">
        <v>2500</v>
      </c>
      <c r="N137" s="1081"/>
      <c r="O137" s="1128">
        <f>P137/$K$56</f>
        <v>4.617957746478873</v>
      </c>
      <c r="P137" s="1128">
        <f>4814-P136</f>
        <v>2623</v>
      </c>
      <c r="Q137" s="1087"/>
      <c r="R137" s="207"/>
      <c r="S137" s="562"/>
      <c r="T137" s="25"/>
      <c r="U137" s="25"/>
      <c r="V137" s="25"/>
      <c r="W137" s="207"/>
      <c r="X137" s="562"/>
      <c r="Y137" s="25"/>
      <c r="Z137" s="25"/>
      <c r="AA137" s="25"/>
      <c r="AB137" s="207"/>
      <c r="AC137" s="25"/>
      <c r="AD137" s="25"/>
      <c r="AE137" s="25"/>
      <c r="AF137" s="25"/>
      <c r="AG137" s="207"/>
      <c r="AH137" s="893"/>
      <c r="AI137" s="25"/>
      <c r="AJ137" s="180"/>
      <c r="AK137" s="25"/>
      <c r="AL137" s="207"/>
      <c r="AM137" s="25"/>
      <c r="AN137" s="541"/>
      <c r="AO137" s="600"/>
      <c r="AP137" s="600"/>
      <c r="AQ137" s="601"/>
      <c r="AR137" s="600"/>
      <c r="AS137" s="596"/>
      <c r="AT137" s="25"/>
      <c r="AU137" s="25"/>
      <c r="AV137" s="25"/>
      <c r="AW137" s="25"/>
      <c r="AX137" s="25"/>
      <c r="AY137" s="25"/>
      <c r="AZ137" s="207"/>
      <c r="BA137" s="180"/>
      <c r="BB137" s="25"/>
      <c r="BC137" s="25"/>
      <c r="BD137" s="25"/>
      <c r="BE137" s="25"/>
      <c r="BF137" s="25"/>
      <c r="BG137" s="207"/>
      <c r="BH137" s="180"/>
      <c r="BI137" s="148"/>
      <c r="BJ137" s="25"/>
      <c r="BK137" s="50"/>
      <c r="BL137" s="25"/>
      <c r="BN137" s="25"/>
      <c r="BO137" s="50"/>
      <c r="BP137" s="25"/>
      <c r="BR137" s="25"/>
      <c r="BS137" s="50"/>
      <c r="BT137" s="25"/>
    </row>
    <row r="138" spans="1:72" ht="15.6">
      <c r="A138" s="814"/>
      <c r="B138" s="848"/>
      <c r="C138" s="1169"/>
      <c r="D138" s="11"/>
      <c r="E138" s="1" t="s">
        <v>570</v>
      </c>
      <c r="F138" s="11"/>
      <c r="G138" s="11"/>
      <c r="H138" s="11"/>
      <c r="I138" s="11"/>
      <c r="J138" s="26"/>
      <c r="K138" s="25"/>
      <c r="L138" s="1080"/>
      <c r="M138" s="1081"/>
      <c r="N138" s="1081"/>
      <c r="O138" s="1128" t="s">
        <v>0</v>
      </c>
      <c r="P138" s="1128"/>
      <c r="Q138" s="1081"/>
      <c r="R138" s="207"/>
      <c r="S138" s="562"/>
      <c r="T138" s="25"/>
      <c r="U138" s="25"/>
      <c r="V138" s="25"/>
      <c r="W138" s="207"/>
      <c r="X138" s="562"/>
      <c r="Y138" s="25"/>
      <c r="Z138" s="25"/>
      <c r="AA138" s="25"/>
      <c r="AB138" s="207"/>
      <c r="AC138" s="25"/>
      <c r="AD138" s="25"/>
      <c r="AE138" s="25"/>
      <c r="AF138" s="25"/>
      <c r="AG138" s="207"/>
      <c r="AH138" s="893"/>
      <c r="AI138" s="25"/>
      <c r="AJ138" s="180"/>
      <c r="AK138" s="25"/>
      <c r="AL138" s="207"/>
      <c r="AM138" s="25"/>
      <c r="AN138" s="541"/>
      <c r="AO138" s="600"/>
      <c r="AP138" s="600"/>
      <c r="AQ138" s="601"/>
      <c r="AR138" s="600"/>
      <c r="AS138" s="596"/>
      <c r="AT138" s="25"/>
      <c r="AU138" s="25"/>
      <c r="AV138" s="25"/>
      <c r="AW138" s="25"/>
      <c r="AX138" s="25"/>
      <c r="AY138" s="25"/>
      <c r="AZ138" s="207"/>
      <c r="BA138" s="180"/>
      <c r="BB138" s="25"/>
      <c r="BC138" s="25"/>
      <c r="BD138" s="25"/>
      <c r="BE138" s="25"/>
      <c r="BF138" s="25"/>
      <c r="BG138" s="207"/>
      <c r="BH138" s="180"/>
      <c r="BI138" s="148"/>
      <c r="BJ138" s="25"/>
      <c r="BK138" s="50"/>
      <c r="BL138" s="25"/>
      <c r="BN138" s="25"/>
      <c r="BO138" s="50"/>
      <c r="BP138" s="25"/>
      <c r="BR138" s="25"/>
      <c r="BS138" s="50"/>
      <c r="BT138" s="25"/>
    </row>
    <row r="139" spans="1:72" ht="15.6">
      <c r="A139" s="814"/>
      <c r="B139" s="848"/>
      <c r="D139" s="11"/>
      <c r="E139" s="1"/>
      <c r="F139" s="11"/>
      <c r="G139" s="1170"/>
      <c r="H139" s="11"/>
      <c r="I139" s="11"/>
      <c r="J139" s="26"/>
      <c r="K139" s="25"/>
      <c r="L139" s="1080"/>
      <c r="M139" s="1081"/>
      <c r="N139" s="1081"/>
      <c r="O139" s="1128"/>
      <c r="P139" s="1128"/>
      <c r="Q139" s="1081"/>
      <c r="R139" s="207"/>
      <c r="S139" s="562"/>
      <c r="T139" s="25"/>
      <c r="U139" s="25"/>
      <c r="V139" s="25"/>
      <c r="W139" s="207"/>
      <c r="X139" s="562"/>
      <c r="Y139" s="25"/>
      <c r="Z139" s="25"/>
      <c r="AA139" s="25"/>
      <c r="AB139" s="207"/>
      <c r="AC139" s="25"/>
      <c r="AD139" s="25"/>
      <c r="AE139" s="25"/>
      <c r="AF139" s="25"/>
      <c r="AG139" s="207"/>
      <c r="AH139" s="893"/>
      <c r="AI139" s="25"/>
      <c r="AJ139" s="180"/>
      <c r="AK139" s="25"/>
      <c r="AL139" s="207"/>
      <c r="AM139" s="25"/>
      <c r="AN139" s="541"/>
      <c r="AO139" s="600"/>
      <c r="AP139" s="600"/>
      <c r="AQ139" s="601"/>
      <c r="AR139" s="600"/>
      <c r="AS139" s="596"/>
      <c r="AT139" s="25"/>
      <c r="AU139" s="25"/>
      <c r="AV139" s="25"/>
      <c r="AW139" s="25"/>
      <c r="AX139" s="25"/>
      <c r="AY139" s="25"/>
      <c r="AZ139" s="207"/>
      <c r="BA139" s="180"/>
      <c r="BB139" s="25"/>
      <c r="BC139" s="25"/>
      <c r="BD139" s="25"/>
      <c r="BE139" s="25"/>
      <c r="BF139" s="25"/>
      <c r="BG139" s="207"/>
      <c r="BH139" s="180"/>
      <c r="BI139" s="148"/>
      <c r="BJ139" s="25"/>
      <c r="BK139" s="50"/>
      <c r="BL139" s="25"/>
      <c r="BN139" s="25"/>
      <c r="BO139" s="50"/>
      <c r="BP139" s="25"/>
      <c r="BR139" s="25"/>
      <c r="BS139" s="50"/>
      <c r="BT139" s="25"/>
    </row>
    <row r="140" spans="1:72" ht="15.6">
      <c r="A140" s="815"/>
      <c r="B140" s="848"/>
      <c r="C140" s="760"/>
      <c r="D140" s="89" t="s">
        <v>550</v>
      </c>
      <c r="E140" s="74"/>
      <c r="F140" s="89"/>
      <c r="G140" s="67"/>
      <c r="H140" s="760"/>
      <c r="I140" s="760"/>
      <c r="J140" s="10"/>
      <c r="K140" s="72"/>
      <c r="L140" s="1107">
        <f>M140/$K$56</f>
        <v>76.49647887323944</v>
      </c>
      <c r="M140" s="1104">
        <f>SUM(M141:M150)</f>
        <v>43450</v>
      </c>
      <c r="N140" s="1088"/>
      <c r="O140" s="1134">
        <f t="shared" si="13"/>
        <v>114.98767605633803</v>
      </c>
      <c r="P140" s="1134">
        <f>SUM(P141:P150)</f>
        <v>65313</v>
      </c>
      <c r="Q140" s="1087"/>
      <c r="R140" s="198"/>
      <c r="S140" s="580"/>
      <c r="T140" s="73">
        <f>S138*M140</f>
        <v>0</v>
      </c>
      <c r="U140" s="8"/>
      <c r="V140" s="8"/>
      <c r="W140" s="198"/>
      <c r="X140" s="580"/>
      <c r="Y140" s="73">
        <f>X138*M140</f>
        <v>0</v>
      </c>
      <c r="Z140" s="8"/>
      <c r="AA140" s="8"/>
      <c r="AB140" s="198"/>
      <c r="AC140" s="580"/>
      <c r="AD140" s="73">
        <f>AC138*M140</f>
        <v>0</v>
      </c>
      <c r="AE140" s="8"/>
      <c r="AF140" s="8"/>
      <c r="AG140" s="198"/>
      <c r="AH140" s="889"/>
      <c r="AI140" s="8"/>
      <c r="AJ140" s="517">
        <f>MROUND(M140,1000)</f>
        <v>43000</v>
      </c>
      <c r="AK140" s="8"/>
      <c r="AL140" s="198"/>
      <c r="AM140" s="8"/>
      <c r="AN140" s="534"/>
      <c r="AO140" s="8"/>
      <c r="AP140" s="8"/>
      <c r="AQ140" s="144"/>
      <c r="AR140" s="8"/>
      <c r="AS140" s="497"/>
      <c r="AT140" s="8"/>
      <c r="AU140" s="8"/>
      <c r="AV140" s="8"/>
      <c r="AW140" s="8"/>
      <c r="AX140" s="8"/>
      <c r="AY140" s="8"/>
      <c r="AZ140" s="198"/>
      <c r="BA140" s="790"/>
      <c r="BB140" s="8"/>
      <c r="BC140" s="8"/>
      <c r="BD140" s="8"/>
      <c r="BE140" s="8"/>
      <c r="BF140" s="8"/>
      <c r="BG140" s="198"/>
      <c r="BH140" s="790"/>
      <c r="BI140" s="778"/>
      <c r="BJ140" s="146"/>
      <c r="BK140" s="6"/>
      <c r="BL140" s="8"/>
      <c r="BN140" s="6"/>
      <c r="BO140" s="6"/>
      <c r="BP140" s="8"/>
      <c r="BR140" s="8"/>
      <c r="BS140" s="8"/>
      <c r="BT140" s="8"/>
    </row>
    <row r="141" spans="1:72" ht="15.6">
      <c r="A141" s="815"/>
      <c r="B141" s="848" t="s">
        <v>348</v>
      </c>
      <c r="D141" s="11"/>
      <c r="E141" s="1" t="s">
        <v>356</v>
      </c>
      <c r="F141" s="11"/>
      <c r="G141" s="11"/>
      <c r="H141" s="11"/>
      <c r="I141" s="11"/>
      <c r="J141" s="26"/>
      <c r="K141" s="25"/>
      <c r="L141" s="1080">
        <f t="shared" si="23"/>
        <v>12.764084507042254</v>
      </c>
      <c r="M141" s="1081">
        <v>7250</v>
      </c>
      <c r="N141" s="1081"/>
      <c r="O141" s="1128">
        <f t="shared" si="13"/>
        <v>12.55105633802817</v>
      </c>
      <c r="P141" s="1128">
        <v>7129</v>
      </c>
      <c r="Q141" s="1081"/>
      <c r="R141" s="207"/>
      <c r="S141" s="562"/>
      <c r="T141" s="25">
        <f>S129*M141</f>
        <v>7975.0000000000009</v>
      </c>
      <c r="U141" s="25"/>
      <c r="V141" s="25"/>
      <c r="W141" s="207"/>
      <c r="X141" s="562"/>
      <c r="Y141" s="25">
        <f>X129*M141</f>
        <v>9062.5</v>
      </c>
      <c r="Z141" s="25"/>
      <c r="AA141" s="25"/>
      <c r="AB141" s="207"/>
      <c r="AC141" s="25"/>
      <c r="AD141" s="25">
        <f>AC129*M141</f>
        <v>10875</v>
      </c>
      <c r="AE141" s="25"/>
      <c r="AF141" s="25"/>
      <c r="AG141" s="207"/>
      <c r="AH141" s="893"/>
      <c r="AI141" s="25"/>
      <c r="AJ141" s="180"/>
      <c r="AK141" s="25"/>
      <c r="AL141" s="207"/>
      <c r="AM141" s="25"/>
      <c r="AN141" s="541"/>
      <c r="AO141" s="600">
        <v>7250</v>
      </c>
      <c r="AP141" s="600"/>
      <c r="AQ141" s="601" t="s">
        <v>127</v>
      </c>
      <c r="AR141" s="600"/>
      <c r="AS141" s="596">
        <f t="shared" si="24"/>
        <v>-725.00000000000091</v>
      </c>
      <c r="AT141" s="25"/>
      <c r="AU141" s="25"/>
      <c r="AV141" s="25"/>
      <c r="AW141" s="25"/>
      <c r="AX141" s="25">
        <v>5792</v>
      </c>
      <c r="AY141" s="25"/>
      <c r="AZ141" s="207"/>
      <c r="BA141" s="180"/>
      <c r="BB141" s="25"/>
      <c r="BC141" s="25"/>
      <c r="BD141" s="25"/>
      <c r="BE141" s="25">
        <v>6361</v>
      </c>
      <c r="BF141" s="25"/>
      <c r="BG141" s="207"/>
      <c r="BH141" s="180"/>
      <c r="BJ141" s="25"/>
      <c r="BK141" s="50"/>
      <c r="BL141" s="25"/>
      <c r="BN141" s="25"/>
      <c r="BO141" s="50"/>
      <c r="BP141" s="25"/>
      <c r="BR141" s="25"/>
      <c r="BS141" s="50">
        <v>8</v>
      </c>
      <c r="BT141" s="25">
        <f t="shared" ref="BT141:BT154" si="26">BS141*BR$55</f>
        <v>5792</v>
      </c>
    </row>
    <row r="142" spans="1:72" ht="15.6">
      <c r="A142" s="815"/>
      <c r="B142" s="848" t="s">
        <v>349</v>
      </c>
      <c r="D142" s="11"/>
      <c r="E142" s="1" t="s">
        <v>357</v>
      </c>
      <c r="F142" s="11"/>
      <c r="G142" s="11"/>
      <c r="H142" s="11"/>
      <c r="I142" s="11"/>
      <c r="J142" s="26"/>
      <c r="K142" s="25"/>
      <c r="L142" s="1080">
        <f t="shared" si="23"/>
        <v>7.922535211267606</v>
      </c>
      <c r="M142" s="1081">
        <v>4500</v>
      </c>
      <c r="N142" s="1081"/>
      <c r="O142" s="1128">
        <f t="shared" si="13"/>
        <v>12.954225352112676</v>
      </c>
      <c r="P142" s="1128">
        <v>7358</v>
      </c>
      <c r="Q142" s="1081"/>
      <c r="R142" s="207"/>
      <c r="S142" s="562"/>
      <c r="T142" s="25">
        <f>S129*M142</f>
        <v>4950</v>
      </c>
      <c r="U142" s="25"/>
      <c r="V142" s="25"/>
      <c r="W142" s="207"/>
      <c r="X142" s="562"/>
      <c r="Y142" s="25">
        <f>X129*M142</f>
        <v>5625</v>
      </c>
      <c r="Z142" s="25"/>
      <c r="AA142" s="25"/>
      <c r="AB142" s="207"/>
      <c r="AC142" s="25"/>
      <c r="AD142" s="25">
        <f>AC129*M142</f>
        <v>6750</v>
      </c>
      <c r="AE142" s="25"/>
      <c r="AF142" s="25"/>
      <c r="AG142" s="207"/>
      <c r="AH142" s="893"/>
      <c r="AI142" s="25"/>
      <c r="AJ142" s="180"/>
      <c r="AK142" s="25"/>
      <c r="AL142" s="207"/>
      <c r="AM142" s="25"/>
      <c r="AN142" s="541"/>
      <c r="AO142" s="600">
        <v>4500</v>
      </c>
      <c r="AP142" s="600"/>
      <c r="AQ142" s="601" t="s">
        <v>163</v>
      </c>
      <c r="AR142" s="600"/>
      <c r="AS142" s="596">
        <f t="shared" si="24"/>
        <v>-450</v>
      </c>
      <c r="AT142" s="25"/>
      <c r="AU142" s="25"/>
      <c r="AV142" s="25"/>
      <c r="AW142" s="25"/>
      <c r="AX142" s="25">
        <v>5792</v>
      </c>
      <c r="AY142" s="25"/>
      <c r="AZ142" s="207"/>
      <c r="BA142" s="180"/>
      <c r="BB142" s="25"/>
      <c r="BC142" s="25"/>
      <c r="BD142" s="25"/>
      <c r="BE142" s="25">
        <v>4517</v>
      </c>
      <c r="BF142" s="25"/>
      <c r="BG142" s="207"/>
      <c r="BH142" s="180"/>
      <c r="BJ142" s="25"/>
      <c r="BK142" s="50"/>
      <c r="BL142" s="25"/>
      <c r="BN142" s="25"/>
      <c r="BO142" s="50"/>
      <c r="BP142" s="25"/>
      <c r="BR142" s="25"/>
      <c r="BS142" s="50">
        <v>8</v>
      </c>
      <c r="BT142" s="25">
        <f t="shared" si="26"/>
        <v>5792</v>
      </c>
    </row>
    <row r="143" spans="1:72" ht="15.6">
      <c r="A143" s="815"/>
      <c r="B143" s="848" t="s">
        <v>350</v>
      </c>
      <c r="D143" s="11"/>
      <c r="E143" s="1" t="s">
        <v>379</v>
      </c>
      <c r="F143" s="11"/>
      <c r="G143" s="11"/>
      <c r="H143" s="11"/>
      <c r="I143" s="11"/>
      <c r="J143" s="26"/>
      <c r="K143" s="25"/>
      <c r="L143" s="1080">
        <f>M143/$K$56</f>
        <v>1.408450704225352</v>
      </c>
      <c r="M143" s="1081">
        <v>800</v>
      </c>
      <c r="N143" s="1081"/>
      <c r="O143" s="1128">
        <v>0</v>
      </c>
      <c r="P143" s="1140" t="s">
        <v>574</v>
      </c>
      <c r="Q143" s="1081"/>
      <c r="R143" s="207"/>
      <c r="S143" s="562"/>
      <c r="T143" s="25">
        <f>S129*M143</f>
        <v>880.00000000000011</v>
      </c>
      <c r="U143" s="25"/>
      <c r="V143" s="25"/>
      <c r="W143" s="207"/>
      <c r="X143" s="562"/>
      <c r="Y143" s="25">
        <f>X129*M143</f>
        <v>1000</v>
      </c>
      <c r="Z143" s="25"/>
      <c r="AA143" s="25"/>
      <c r="AB143" s="207"/>
      <c r="AC143" s="25"/>
      <c r="AD143" s="25">
        <f>AC129*M143</f>
        <v>1200</v>
      </c>
      <c r="AE143" s="25"/>
      <c r="AF143" s="25"/>
      <c r="AG143" s="207"/>
      <c r="AH143" s="893"/>
      <c r="AI143" s="25"/>
      <c r="AJ143" s="180"/>
      <c r="AK143" s="25"/>
      <c r="AL143" s="207"/>
      <c r="AM143" s="25"/>
      <c r="AN143" s="541"/>
      <c r="AO143" s="600">
        <v>800</v>
      </c>
      <c r="AP143" s="600"/>
      <c r="AQ143" s="601" t="s">
        <v>163</v>
      </c>
      <c r="AR143" s="600"/>
      <c r="AS143" s="596">
        <f>AO143-T143</f>
        <v>-80.000000000000114</v>
      </c>
      <c r="AT143" s="25"/>
      <c r="AU143" s="25"/>
      <c r="AV143" s="25"/>
      <c r="AW143" s="25"/>
      <c r="AX143" s="25"/>
      <c r="AY143" s="25"/>
      <c r="AZ143" s="207"/>
      <c r="BA143" s="180"/>
      <c r="BB143" s="25"/>
      <c r="BC143" s="25"/>
      <c r="BD143" s="25"/>
      <c r="BE143" s="25"/>
      <c r="BF143" s="25"/>
      <c r="BG143" s="207"/>
      <c r="BH143" s="180"/>
      <c r="BI143" s="148"/>
      <c r="BJ143" s="25"/>
      <c r="BK143" s="50"/>
      <c r="BL143" s="25"/>
      <c r="BN143" s="25"/>
      <c r="BO143" s="50"/>
      <c r="BP143" s="25"/>
      <c r="BR143" s="25"/>
      <c r="BS143" s="50"/>
      <c r="BT143" s="25"/>
    </row>
    <row r="144" spans="1:72" ht="15.6">
      <c r="A144" s="815"/>
      <c r="B144" s="848" t="s">
        <v>361</v>
      </c>
      <c r="D144" s="11"/>
      <c r="E144" s="1" t="s">
        <v>367</v>
      </c>
      <c r="F144" s="11"/>
      <c r="G144" s="11"/>
      <c r="H144" s="11"/>
      <c r="I144" s="11"/>
      <c r="J144" s="93"/>
      <c r="K144" s="25"/>
      <c r="L144" s="1080">
        <f>M144/$K$56</f>
        <v>12.67605633802817</v>
      </c>
      <c r="M144" s="1081">
        <v>7200</v>
      </c>
      <c r="N144" s="1081"/>
      <c r="O144" s="1128">
        <f t="shared" si="13"/>
        <v>14.809859154929578</v>
      </c>
      <c r="P144" s="1128">
        <v>8412</v>
      </c>
      <c r="Q144" s="1081"/>
      <c r="R144" s="207"/>
      <c r="S144" s="562"/>
      <c r="T144" s="25">
        <f>S129*M144</f>
        <v>7920.0000000000009</v>
      </c>
      <c r="U144" s="25"/>
      <c r="V144" s="25"/>
      <c r="W144" s="207"/>
      <c r="X144" s="562"/>
      <c r="Y144" s="25">
        <f>X129*M144</f>
        <v>9000</v>
      </c>
      <c r="Z144" s="25"/>
      <c r="AA144" s="25"/>
      <c r="AB144" s="207"/>
      <c r="AC144" s="25"/>
      <c r="AD144" s="25">
        <f>AC129*M144</f>
        <v>10800</v>
      </c>
      <c r="AE144" s="25"/>
      <c r="AF144" s="25"/>
      <c r="AG144" s="207"/>
      <c r="AH144" s="893"/>
      <c r="AI144" s="25"/>
      <c r="AJ144" s="180"/>
      <c r="AK144" s="25"/>
      <c r="AL144" s="207"/>
      <c r="AM144" s="25"/>
      <c r="AN144" s="541"/>
      <c r="AO144" s="600">
        <v>7200</v>
      </c>
      <c r="AP144" s="600"/>
      <c r="AQ144" s="601" t="s">
        <v>164</v>
      </c>
      <c r="AR144" s="600"/>
      <c r="AS144" s="596">
        <f>AO144-T144</f>
        <v>-720.00000000000091</v>
      </c>
      <c r="AT144" s="25"/>
      <c r="AU144" s="25"/>
      <c r="AV144" s="25"/>
      <c r="AW144" s="25"/>
      <c r="AX144" s="25">
        <v>5937</v>
      </c>
      <c r="AY144" s="25"/>
      <c r="AZ144" s="207"/>
      <c r="BA144" s="180"/>
      <c r="BB144" s="25"/>
      <c r="BC144" s="25"/>
      <c r="BD144" s="25"/>
      <c r="BE144" s="25">
        <v>7410</v>
      </c>
      <c r="BF144" s="25"/>
      <c r="BG144" s="207"/>
      <c r="BH144" s="180"/>
      <c r="BJ144" s="25"/>
      <c r="BK144" s="50"/>
      <c r="BL144" s="25"/>
      <c r="BN144" s="25"/>
      <c r="BO144" s="50"/>
      <c r="BP144" s="25"/>
      <c r="BR144" s="25"/>
      <c r="BS144" s="50">
        <v>8.1999999999999993</v>
      </c>
      <c r="BT144" s="25">
        <f>BS144*BR$55</f>
        <v>5936.7999999999993</v>
      </c>
    </row>
    <row r="145" spans="1:72" ht="15.6">
      <c r="A145" s="815"/>
      <c r="B145" s="848" t="s">
        <v>362</v>
      </c>
      <c r="D145" s="11"/>
      <c r="E145" s="1" t="s">
        <v>366</v>
      </c>
      <c r="F145" s="11"/>
      <c r="G145" s="11"/>
      <c r="H145" s="11"/>
      <c r="I145" s="11"/>
      <c r="J145" s="26"/>
      <c r="K145" s="25"/>
      <c r="L145" s="1080">
        <f>M145/$K$56</f>
        <v>31.690140845070424</v>
      </c>
      <c r="M145" s="1081">
        <v>18000</v>
      </c>
      <c r="N145" s="1081"/>
      <c r="O145" s="1128">
        <f t="shared" si="13"/>
        <v>35.83098591549296</v>
      </c>
      <c r="P145" s="1128">
        <v>20352</v>
      </c>
      <c r="Q145" s="1081"/>
      <c r="R145" s="207"/>
      <c r="S145" s="562"/>
      <c r="T145" s="25">
        <f>S129*M145</f>
        <v>19800</v>
      </c>
      <c r="U145" s="25"/>
      <c r="V145" s="25"/>
      <c r="W145" s="207"/>
      <c r="X145" s="562"/>
      <c r="Y145" s="25">
        <f>X129*M145</f>
        <v>22500</v>
      </c>
      <c r="Z145" s="25"/>
      <c r="AA145" s="25"/>
      <c r="AB145" s="207"/>
      <c r="AC145" s="25"/>
      <c r="AD145" s="25">
        <f>AC129*M145</f>
        <v>27000</v>
      </c>
      <c r="AE145" s="25"/>
      <c r="AF145" s="25"/>
      <c r="AG145" s="207"/>
      <c r="AH145" s="893"/>
      <c r="AI145" s="25"/>
      <c r="AJ145" s="180"/>
      <c r="AK145" s="25"/>
      <c r="AL145" s="207"/>
      <c r="AM145" s="25"/>
      <c r="AN145" s="541"/>
      <c r="AO145" s="600">
        <v>18000</v>
      </c>
      <c r="AP145" s="600"/>
      <c r="AQ145" s="601" t="s">
        <v>127</v>
      </c>
      <c r="AR145" s="600"/>
      <c r="AS145" s="596">
        <f>AO145-T145</f>
        <v>-1800</v>
      </c>
      <c r="AT145" s="25"/>
      <c r="AU145" s="25"/>
      <c r="AV145" s="25"/>
      <c r="AW145" s="25"/>
      <c r="AX145" s="25">
        <v>21792</v>
      </c>
      <c r="AY145" s="25"/>
      <c r="AZ145" s="207"/>
      <c r="BA145" s="180"/>
      <c r="BB145" s="25"/>
      <c r="BC145" s="25"/>
      <c r="BD145" s="25"/>
      <c r="BE145" s="25">
        <v>25835</v>
      </c>
      <c r="BF145" s="25"/>
      <c r="BG145" s="207"/>
      <c r="BH145" s="180"/>
      <c r="BJ145" s="25"/>
      <c r="BK145" s="50"/>
      <c r="BL145" s="25"/>
      <c r="BN145" s="25"/>
      <c r="BO145" s="50"/>
      <c r="BP145" s="25"/>
      <c r="BR145" s="25"/>
      <c r="BS145" s="50">
        <v>30.1</v>
      </c>
      <c r="BT145" s="25">
        <f>BS145*BR$55</f>
        <v>21792.400000000001</v>
      </c>
    </row>
    <row r="146" spans="1:72" ht="15.6">
      <c r="A146" s="815"/>
      <c r="B146" s="848" t="s">
        <v>350</v>
      </c>
      <c r="D146" s="11"/>
      <c r="E146" s="1" t="s">
        <v>358</v>
      </c>
      <c r="F146" s="11"/>
      <c r="G146" s="11"/>
      <c r="H146" s="11"/>
      <c r="I146" s="11"/>
      <c r="J146" s="26"/>
      <c r="K146" s="25"/>
      <c r="L146" s="1080">
        <f t="shared" si="23"/>
        <v>1.232394366197183</v>
      </c>
      <c r="M146" s="1081">
        <v>700</v>
      </c>
      <c r="N146" s="1081"/>
      <c r="O146" s="1128">
        <f t="shared" si="13"/>
        <v>1.0985915492957747</v>
      </c>
      <c r="P146" s="1128">
        <v>624</v>
      </c>
      <c r="Q146" s="1081"/>
      <c r="R146" s="207"/>
      <c r="S146" s="562"/>
      <c r="T146" s="25">
        <f>S129*M146</f>
        <v>770.00000000000011</v>
      </c>
      <c r="U146" s="25"/>
      <c r="V146" s="25"/>
      <c r="W146" s="207"/>
      <c r="X146" s="562"/>
      <c r="Y146" s="25">
        <f>X129*M146</f>
        <v>875</v>
      </c>
      <c r="Z146" s="25"/>
      <c r="AA146" s="25"/>
      <c r="AB146" s="207"/>
      <c r="AC146" s="25"/>
      <c r="AD146" s="25">
        <f>AC129*M146</f>
        <v>1050</v>
      </c>
      <c r="AE146" s="25"/>
      <c r="AF146" s="25"/>
      <c r="AG146" s="207"/>
      <c r="AH146" s="893"/>
      <c r="AI146" s="25"/>
      <c r="AJ146" s="180"/>
      <c r="AK146" s="25"/>
      <c r="AL146" s="207"/>
      <c r="AM146" s="25"/>
      <c r="AN146" s="541"/>
      <c r="AO146" s="600">
        <v>700</v>
      </c>
      <c r="AP146" s="600"/>
      <c r="AQ146" s="601" t="s">
        <v>127</v>
      </c>
      <c r="AR146" s="600"/>
      <c r="AS146" s="596">
        <f t="shared" si="24"/>
        <v>-70.000000000000114</v>
      </c>
      <c r="AT146" s="25"/>
      <c r="AU146" s="25"/>
      <c r="AV146" s="25"/>
      <c r="AW146" s="25"/>
      <c r="AX146" s="25">
        <v>5502</v>
      </c>
      <c r="AY146" s="25"/>
      <c r="AZ146" s="207"/>
      <c r="BA146" s="180"/>
      <c r="BB146" s="25"/>
      <c r="BC146" s="25"/>
      <c r="BD146" s="25"/>
      <c r="BE146" s="25">
        <v>7380</v>
      </c>
      <c r="BF146" s="25"/>
      <c r="BG146" s="207"/>
      <c r="BH146" s="180"/>
      <c r="BJ146" s="25"/>
      <c r="BK146" s="50"/>
      <c r="BL146" s="25"/>
      <c r="BN146" s="25"/>
      <c r="BO146" s="50"/>
      <c r="BP146" s="25"/>
      <c r="BR146" s="25"/>
      <c r="BS146" s="50">
        <v>7.6</v>
      </c>
      <c r="BT146" s="25">
        <f t="shared" si="26"/>
        <v>5502.4</v>
      </c>
    </row>
    <row r="147" spans="1:72" ht="15.6">
      <c r="A147" s="815"/>
      <c r="B147" s="848" t="s">
        <v>351</v>
      </c>
      <c r="D147" s="11"/>
      <c r="E147" s="1" t="s">
        <v>359</v>
      </c>
      <c r="F147" s="11"/>
      <c r="G147" s="11"/>
      <c r="H147" s="11"/>
      <c r="I147" s="11"/>
      <c r="J147" s="26"/>
      <c r="K147" s="25"/>
      <c r="L147" s="1080">
        <f t="shared" si="23"/>
        <v>5.28169014084507</v>
      </c>
      <c r="M147" s="1081">
        <v>3000</v>
      </c>
      <c r="N147" s="1081"/>
      <c r="O147" s="1128">
        <f t="shared" si="13"/>
        <v>2.5246478873239435</v>
      </c>
      <c r="P147" s="1128">
        <v>1434</v>
      </c>
      <c r="Q147" s="1081"/>
      <c r="R147" s="207"/>
      <c r="S147" s="562"/>
      <c r="T147" s="25">
        <f>S129*M147</f>
        <v>3300.0000000000005</v>
      </c>
      <c r="U147" s="25"/>
      <c r="V147" s="25"/>
      <c r="W147" s="207"/>
      <c r="X147" s="562"/>
      <c r="Y147" s="25">
        <f>X129*M147</f>
        <v>3750</v>
      </c>
      <c r="Z147" s="25"/>
      <c r="AA147" s="25"/>
      <c r="AB147" s="207"/>
      <c r="AC147" s="25"/>
      <c r="AD147" s="25">
        <f>AC129*M147</f>
        <v>4500</v>
      </c>
      <c r="AE147" s="25"/>
      <c r="AF147" s="25"/>
      <c r="AG147" s="207"/>
      <c r="AH147" s="893"/>
      <c r="AI147" s="25"/>
      <c r="AJ147" s="180"/>
      <c r="AK147" s="25"/>
      <c r="AL147" s="207"/>
      <c r="AM147" s="25"/>
      <c r="AN147" s="541"/>
      <c r="AO147" s="600">
        <v>3000</v>
      </c>
      <c r="AP147" s="600"/>
      <c r="AQ147" s="601" t="s">
        <v>127</v>
      </c>
      <c r="AR147" s="600"/>
      <c r="AS147" s="596">
        <f t="shared" si="24"/>
        <v>-300.00000000000045</v>
      </c>
      <c r="AT147" s="25"/>
      <c r="AU147" s="25"/>
      <c r="AV147" s="25"/>
      <c r="AW147" s="25"/>
      <c r="AX147" s="25">
        <v>8471</v>
      </c>
      <c r="AY147" s="25"/>
      <c r="AZ147" s="207"/>
      <c r="BA147" s="180"/>
      <c r="BB147" s="25"/>
      <c r="BC147" s="25"/>
      <c r="BD147" s="25"/>
      <c r="BE147" s="25">
        <v>10432</v>
      </c>
      <c r="BF147" s="25"/>
      <c r="BG147" s="207"/>
      <c r="BH147" s="180"/>
      <c r="BI147" s="66" t="s">
        <v>0</v>
      </c>
      <c r="BJ147" s="25"/>
      <c r="BK147" s="50"/>
      <c r="BL147" s="25"/>
      <c r="BM147" s="66"/>
      <c r="BN147" s="25"/>
      <c r="BO147" s="50"/>
      <c r="BP147" s="25"/>
      <c r="BQ147" s="66" t="s">
        <v>0</v>
      </c>
      <c r="BR147" s="25"/>
      <c r="BS147" s="50">
        <v>11.7</v>
      </c>
      <c r="BT147" s="25">
        <f t="shared" si="26"/>
        <v>8470.7999999999993</v>
      </c>
    </row>
    <row r="148" spans="1:72" ht="15.6">
      <c r="A148" s="815"/>
      <c r="B148" s="848"/>
      <c r="D148" s="11"/>
      <c r="E148" s="1" t="s">
        <v>551</v>
      </c>
      <c r="F148" s="11"/>
      <c r="G148" s="11"/>
      <c r="H148" s="11"/>
      <c r="I148" s="11"/>
      <c r="J148" s="26"/>
      <c r="K148" s="1089"/>
      <c r="L148" s="1080"/>
      <c r="M148" s="1103" t="s">
        <v>552</v>
      </c>
      <c r="N148" s="1081"/>
      <c r="O148" s="1140" t="s">
        <v>0</v>
      </c>
      <c r="P148" s="1140" t="s">
        <v>552</v>
      </c>
      <c r="Q148" s="1081"/>
      <c r="R148" s="207"/>
      <c r="S148" s="562"/>
      <c r="T148" s="25"/>
      <c r="U148" s="25"/>
      <c r="V148" s="25"/>
      <c r="W148" s="207"/>
      <c r="X148" s="562"/>
      <c r="Y148" s="25"/>
      <c r="Z148" s="25"/>
      <c r="AA148" s="25"/>
      <c r="AB148" s="207"/>
      <c r="AC148" s="25"/>
      <c r="AD148" s="25"/>
      <c r="AE148" s="25"/>
      <c r="AF148" s="25"/>
      <c r="AG148" s="207"/>
      <c r="AH148" s="893"/>
      <c r="AI148" s="25"/>
      <c r="AJ148" s="180"/>
      <c r="AK148" s="25"/>
      <c r="AL148" s="207"/>
      <c r="AM148" s="25"/>
      <c r="AN148" s="541"/>
      <c r="AO148" s="600"/>
      <c r="AP148" s="600"/>
      <c r="AQ148" s="601"/>
      <c r="AR148" s="600"/>
      <c r="AS148" s="596"/>
      <c r="AT148" s="25"/>
      <c r="AU148" s="25"/>
      <c r="AV148" s="25"/>
      <c r="AW148" s="25"/>
      <c r="AX148" s="25"/>
      <c r="AY148" s="25"/>
      <c r="AZ148" s="207"/>
      <c r="BA148" s="180"/>
      <c r="BB148" s="25"/>
      <c r="BC148" s="25"/>
      <c r="BD148" s="25"/>
      <c r="BE148" s="25"/>
      <c r="BF148" s="25"/>
      <c r="BG148" s="207"/>
      <c r="BH148" s="180"/>
      <c r="BI148" s="66"/>
      <c r="BJ148" s="25"/>
      <c r="BK148" s="50"/>
      <c r="BL148" s="25"/>
      <c r="BM148" s="66"/>
      <c r="BN148" s="25"/>
      <c r="BO148" s="50"/>
      <c r="BP148" s="25"/>
      <c r="BQ148" s="66"/>
      <c r="BR148" s="25"/>
      <c r="BS148" s="50"/>
      <c r="BT148" s="25"/>
    </row>
    <row r="149" spans="1:72" ht="15.6">
      <c r="A149" s="815"/>
      <c r="B149" s="848"/>
      <c r="D149" s="11"/>
      <c r="E149" s="1" t="s">
        <v>381</v>
      </c>
      <c r="F149" s="11"/>
      <c r="G149" s="11"/>
      <c r="H149" s="11"/>
      <c r="I149" s="11"/>
      <c r="J149" s="26"/>
      <c r="K149" s="25"/>
      <c r="L149" s="50">
        <f t="shared" si="23"/>
        <v>0</v>
      </c>
      <c r="M149" s="801">
        <v>0</v>
      </c>
      <c r="N149" s="1081"/>
      <c r="O149" s="1128">
        <f t="shared" si="13"/>
        <v>0</v>
      </c>
      <c r="P149" s="1128">
        <v>0</v>
      </c>
      <c r="Q149" s="1081"/>
      <c r="R149" s="207"/>
      <c r="S149" s="562"/>
      <c r="T149" s="25"/>
      <c r="U149" s="25"/>
      <c r="V149" s="25"/>
      <c r="W149" s="207"/>
      <c r="X149" s="562"/>
      <c r="Y149" s="25"/>
      <c r="Z149" s="25"/>
      <c r="AA149" s="25"/>
      <c r="AB149" s="207"/>
      <c r="AC149" s="25"/>
      <c r="AD149" s="25"/>
      <c r="AE149" s="25"/>
      <c r="AF149" s="25"/>
      <c r="AG149" s="207"/>
      <c r="AH149" s="893"/>
      <c r="AI149" s="25"/>
      <c r="AJ149" s="180"/>
      <c r="AK149" s="25"/>
      <c r="AL149" s="207"/>
      <c r="AM149" s="25"/>
      <c r="AN149" s="541"/>
      <c r="AO149" s="600"/>
      <c r="AP149" s="600"/>
      <c r="AQ149" s="601"/>
      <c r="AR149" s="600"/>
      <c r="AS149" s="596"/>
      <c r="AT149" s="25"/>
      <c r="AU149" s="25"/>
      <c r="AV149" s="25"/>
      <c r="AW149" s="25"/>
      <c r="AX149" s="25"/>
      <c r="AY149" s="25"/>
      <c r="AZ149" s="207"/>
      <c r="BA149" s="180"/>
      <c r="BB149" s="25"/>
      <c r="BC149" s="25"/>
      <c r="BD149" s="25"/>
      <c r="BE149" s="25"/>
      <c r="BF149" s="25"/>
      <c r="BG149" s="207"/>
      <c r="BH149" s="180"/>
      <c r="BI149" s="66"/>
      <c r="BJ149" s="25"/>
      <c r="BK149" s="50"/>
      <c r="BL149" s="25"/>
      <c r="BM149" s="66"/>
      <c r="BN149" s="25"/>
      <c r="BO149" s="50"/>
      <c r="BP149" s="25"/>
      <c r="BQ149" s="66"/>
      <c r="BR149" s="25"/>
      <c r="BS149" s="50"/>
      <c r="BT149" s="25"/>
    </row>
    <row r="150" spans="1:72" ht="15.6">
      <c r="A150" s="815"/>
      <c r="B150" s="848" t="s">
        <v>352</v>
      </c>
      <c r="D150" s="11"/>
      <c r="E150" s="1" t="s">
        <v>360</v>
      </c>
      <c r="F150" s="792" t="s">
        <v>374</v>
      </c>
      <c r="G150" s="11"/>
      <c r="H150" s="11"/>
      <c r="I150" s="11"/>
      <c r="J150" s="26"/>
      <c r="K150" s="25"/>
      <c r="L150" s="50">
        <f>M150/$K$56</f>
        <v>3.5211267605633805</v>
      </c>
      <c r="M150" s="801">
        <v>2000</v>
      </c>
      <c r="N150" s="1081"/>
      <c r="O150" s="1128">
        <f t="shared" si="13"/>
        <v>35.218309859154928</v>
      </c>
      <c r="P150" s="1140">
        <v>20004</v>
      </c>
      <c r="Q150" s="1081"/>
      <c r="R150" s="207"/>
      <c r="S150" s="562"/>
      <c r="T150" s="25">
        <f>S129*M150</f>
        <v>2200</v>
      </c>
      <c r="U150" s="25"/>
      <c r="V150" s="25"/>
      <c r="W150" s="207"/>
      <c r="X150" s="562"/>
      <c r="Y150" s="25">
        <f>X129*M150</f>
        <v>2500</v>
      </c>
      <c r="Z150" s="25"/>
      <c r="AA150" s="25"/>
      <c r="AB150" s="207"/>
      <c r="AC150" s="25"/>
      <c r="AD150" s="25">
        <f>AC129*M150</f>
        <v>3000</v>
      </c>
      <c r="AE150" s="25"/>
      <c r="AF150" s="25"/>
      <c r="AG150" s="207"/>
      <c r="AH150" s="893"/>
      <c r="AI150" s="25"/>
      <c r="AJ150" s="180"/>
      <c r="AK150" s="25"/>
      <c r="AL150" s="207"/>
      <c r="AM150" s="25"/>
      <c r="AN150" s="541"/>
      <c r="AO150" s="600">
        <v>2000</v>
      </c>
      <c r="AP150" s="600"/>
      <c r="AQ150" s="601" t="s">
        <v>127</v>
      </c>
      <c r="AR150" s="600"/>
      <c r="AS150" s="596">
        <f>AO150-T150</f>
        <v>-200</v>
      </c>
      <c r="AT150" s="25"/>
      <c r="AU150" s="25"/>
      <c r="AV150" s="25"/>
      <c r="AW150" s="25"/>
      <c r="AX150" s="25"/>
      <c r="AY150" s="25"/>
      <c r="AZ150" s="207"/>
      <c r="BA150" s="180"/>
      <c r="BB150" s="25"/>
      <c r="BC150" s="25"/>
      <c r="BD150" s="25"/>
      <c r="BE150" s="25"/>
      <c r="BF150" s="25"/>
      <c r="BG150" s="207"/>
      <c r="BH150" s="180"/>
      <c r="BI150" s="66"/>
      <c r="BJ150" s="25"/>
      <c r="BK150" s="50"/>
      <c r="BL150" s="25"/>
      <c r="BM150" s="66"/>
      <c r="BN150" s="25"/>
      <c r="BO150" s="50"/>
      <c r="BP150" s="25"/>
      <c r="BQ150" s="66"/>
      <c r="BR150" s="25"/>
      <c r="BS150" s="50"/>
      <c r="BT150" s="25"/>
    </row>
    <row r="151" spans="1:72" ht="15.6">
      <c r="B151" s="848"/>
      <c r="D151" s="11"/>
      <c r="E151" s="1"/>
      <c r="F151" s="792"/>
      <c r="G151" s="11"/>
      <c r="H151" s="11"/>
      <c r="I151" s="11"/>
      <c r="J151" s="26"/>
      <c r="K151" s="25"/>
      <c r="L151" s="50"/>
      <c r="M151" s="801"/>
      <c r="N151" s="1081"/>
      <c r="O151" s="1128">
        <f t="shared" ref="O151:O156" si="27">P151/$K$56</f>
        <v>0</v>
      </c>
      <c r="P151" s="1128"/>
      <c r="Q151" s="1081"/>
      <c r="R151" s="207"/>
      <c r="S151" s="562"/>
      <c r="T151" s="25"/>
      <c r="U151" s="25"/>
      <c r="V151" s="25"/>
      <c r="W151" s="207"/>
      <c r="X151" s="562"/>
      <c r="Y151" s="25"/>
      <c r="Z151" s="25"/>
      <c r="AA151" s="25"/>
      <c r="AB151" s="207"/>
      <c r="AC151" s="25"/>
      <c r="AD151" s="25"/>
      <c r="AE151" s="25"/>
      <c r="AF151" s="25"/>
      <c r="AG151" s="207"/>
      <c r="AH151" s="893"/>
      <c r="AI151" s="25"/>
      <c r="AJ151" s="180"/>
      <c r="AK151" s="25"/>
      <c r="AL151" s="207"/>
      <c r="AM151" s="25"/>
      <c r="AN151" s="541"/>
      <c r="AO151" s="600"/>
      <c r="AP151" s="600"/>
      <c r="AQ151" s="601"/>
      <c r="AR151" s="600"/>
      <c r="AS151" s="596"/>
      <c r="AT151" s="25"/>
      <c r="AU151" s="25"/>
      <c r="AV151" s="25"/>
      <c r="AW151" s="25"/>
      <c r="AX151" s="25"/>
      <c r="AY151" s="25"/>
      <c r="AZ151" s="207"/>
      <c r="BA151" s="180"/>
      <c r="BB151" s="25"/>
      <c r="BC151" s="25"/>
      <c r="BD151" s="25"/>
      <c r="BE151" s="25"/>
      <c r="BF151" s="25"/>
      <c r="BG151" s="207"/>
      <c r="BH151" s="180"/>
      <c r="BI151" s="66"/>
      <c r="BJ151" s="25"/>
      <c r="BK151" s="50"/>
      <c r="BL151" s="25"/>
      <c r="BM151" s="66"/>
      <c r="BN151" s="25"/>
      <c r="BO151" s="50"/>
      <c r="BP151" s="25"/>
      <c r="BQ151" s="66"/>
      <c r="BR151" s="25"/>
      <c r="BS151" s="50"/>
      <c r="BT151" s="25"/>
    </row>
    <row r="152" spans="1:72" ht="15.6">
      <c r="A152" s="815"/>
      <c r="B152" s="848"/>
      <c r="D152" s="89" t="s">
        <v>122</v>
      </c>
      <c r="E152" s="74"/>
      <c r="F152" s="802"/>
      <c r="G152" s="75"/>
      <c r="H152" s="11"/>
      <c r="I152" s="11"/>
      <c r="J152" s="26"/>
      <c r="K152" s="779"/>
      <c r="L152" s="1107">
        <f>M152/$K$56</f>
        <v>39.612676056338032</v>
      </c>
      <c r="M152" s="800">
        <f>SUM(M153:M156)</f>
        <v>22500</v>
      </c>
      <c r="N152" s="1096"/>
      <c r="O152" s="1134">
        <f t="shared" si="27"/>
        <v>41.390845070422536</v>
      </c>
      <c r="P152" s="1134">
        <f>SUM(P153:P156)</f>
        <v>23510</v>
      </c>
      <c r="Q152" s="1096"/>
      <c r="R152" s="207"/>
      <c r="S152" s="577"/>
      <c r="T152" s="73">
        <f>S129*M152</f>
        <v>24750.000000000004</v>
      </c>
      <c r="U152" s="25"/>
      <c r="V152" s="25"/>
      <c r="W152" s="207"/>
      <c r="X152" s="577"/>
      <c r="Y152" s="73">
        <f>X129*M152</f>
        <v>28125</v>
      </c>
      <c r="Z152" s="25"/>
      <c r="AA152" s="25"/>
      <c r="AB152" s="207"/>
      <c r="AC152" s="779"/>
      <c r="AD152" s="73">
        <f>AC129*M152</f>
        <v>33750</v>
      </c>
      <c r="AE152" s="25"/>
      <c r="AF152" s="25"/>
      <c r="AG152" s="207"/>
      <c r="AH152" s="893"/>
      <c r="AI152" s="25"/>
      <c r="AJ152" s="517">
        <f>MROUND(M152,1000)</f>
        <v>23000</v>
      </c>
      <c r="AK152" s="25"/>
      <c r="AL152" s="207"/>
      <c r="AM152" s="25"/>
      <c r="AN152" s="541"/>
      <c r="AO152" s="600"/>
      <c r="AP152" s="600"/>
      <c r="AQ152" s="601"/>
      <c r="AR152" s="600"/>
      <c r="AS152" s="596"/>
      <c r="AT152" s="25"/>
      <c r="AU152" s="25"/>
      <c r="AV152" s="25"/>
      <c r="AW152" s="25"/>
      <c r="AX152" s="25"/>
      <c r="AY152" s="25"/>
      <c r="AZ152" s="207"/>
      <c r="BA152" s="180"/>
      <c r="BB152" s="25"/>
      <c r="BC152" s="25"/>
      <c r="BD152" s="25"/>
      <c r="BE152" s="25"/>
      <c r="BF152" s="25"/>
      <c r="BG152" s="207"/>
      <c r="BH152" s="180"/>
      <c r="BI152" s="66"/>
      <c r="BJ152" s="25"/>
      <c r="BK152" s="50"/>
      <c r="BL152" s="25"/>
      <c r="BM152" s="66"/>
      <c r="BN152" s="25"/>
      <c r="BO152" s="50"/>
      <c r="BP152" s="25"/>
      <c r="BQ152" s="66"/>
      <c r="BR152" s="25"/>
      <c r="BS152" s="50"/>
      <c r="BT152" s="25"/>
    </row>
    <row r="153" spans="1:72" ht="15.6">
      <c r="A153" s="815"/>
      <c r="B153" s="848" t="s">
        <v>363</v>
      </c>
      <c r="D153" s="11"/>
      <c r="E153" s="1" t="s">
        <v>368</v>
      </c>
      <c r="F153" s="11"/>
      <c r="G153" s="11"/>
      <c r="H153" s="11"/>
      <c r="I153" s="11"/>
      <c r="J153" s="26"/>
      <c r="K153" s="25"/>
      <c r="L153" s="50">
        <f>M153/$K$56</f>
        <v>26.408450704225352</v>
      </c>
      <c r="M153" s="801">
        <v>15000</v>
      </c>
      <c r="N153" s="1081"/>
      <c r="O153" s="1128">
        <f t="shared" si="27"/>
        <v>28.246478873239436</v>
      </c>
      <c r="P153" s="1128">
        <v>16044</v>
      </c>
      <c r="Q153" s="1081"/>
      <c r="R153" s="207"/>
      <c r="S153" s="562"/>
      <c r="T153" s="25">
        <f>S129*M153</f>
        <v>16500</v>
      </c>
      <c r="U153" s="25"/>
      <c r="V153" s="25"/>
      <c r="W153" s="207"/>
      <c r="X153" s="562"/>
      <c r="Y153" s="25">
        <f>X129*M153</f>
        <v>18750</v>
      </c>
      <c r="Z153" s="25"/>
      <c r="AA153" s="25"/>
      <c r="AB153" s="207"/>
      <c r="AC153" s="25"/>
      <c r="AD153" s="25">
        <f>AC129*M153</f>
        <v>22500</v>
      </c>
      <c r="AE153" s="25"/>
      <c r="AF153" s="25"/>
      <c r="AG153" s="207"/>
      <c r="AH153" s="893"/>
      <c r="AI153" s="25"/>
      <c r="AJ153" s="180"/>
      <c r="AK153" s="25"/>
      <c r="AL153" s="207"/>
      <c r="AM153" s="25"/>
      <c r="AN153" s="541"/>
      <c r="AO153" s="600">
        <v>15000</v>
      </c>
      <c r="AP153" s="600"/>
      <c r="AQ153" s="601" t="s">
        <v>127</v>
      </c>
      <c r="AR153" s="600"/>
      <c r="AS153" s="596">
        <f>AO153-T153</f>
        <v>-1500</v>
      </c>
      <c r="AT153" s="25"/>
      <c r="AU153" s="25"/>
      <c r="AV153" s="25"/>
      <c r="AW153" s="25"/>
      <c r="AX153" s="25">
        <v>14408</v>
      </c>
      <c r="AY153" s="25"/>
      <c r="AZ153" s="207"/>
      <c r="BA153" s="180"/>
      <c r="BB153" s="25"/>
      <c r="BC153" s="25"/>
      <c r="BD153" s="25"/>
      <c r="BE153" s="25">
        <v>16733</v>
      </c>
      <c r="BF153" s="25"/>
      <c r="BG153" s="207"/>
      <c r="BH153" s="180"/>
      <c r="BJ153" s="25"/>
      <c r="BK153" s="50"/>
      <c r="BL153" s="25"/>
      <c r="BN153" s="25"/>
      <c r="BO153" s="50"/>
      <c r="BP153" s="25"/>
      <c r="BR153" s="25"/>
      <c r="BS153" s="50">
        <v>19.899999999999999</v>
      </c>
      <c r="BT153" s="25">
        <f t="shared" si="26"/>
        <v>14407.599999999999</v>
      </c>
    </row>
    <row r="154" spans="1:72" ht="15.6">
      <c r="A154" s="815"/>
      <c r="B154" s="848" t="s">
        <v>364</v>
      </c>
      <c r="D154" s="11"/>
      <c r="E154" s="1" t="s">
        <v>369</v>
      </c>
      <c r="F154" s="11"/>
      <c r="G154" s="11"/>
      <c r="H154" s="11"/>
      <c r="I154" s="11"/>
      <c r="J154" s="26"/>
      <c r="K154" s="25"/>
      <c r="L154" s="50">
        <f>M154/$K$56</f>
        <v>4.401408450704225</v>
      </c>
      <c r="M154" s="801">
        <v>2500</v>
      </c>
      <c r="N154" s="1081"/>
      <c r="O154" s="1128">
        <f t="shared" si="27"/>
        <v>4.341549295774648</v>
      </c>
      <c r="P154" s="1128">
        <v>2466</v>
      </c>
      <c r="Q154" s="1081"/>
      <c r="R154" s="207"/>
      <c r="S154" s="562"/>
      <c r="T154" s="25">
        <f>S129*M154</f>
        <v>2750</v>
      </c>
      <c r="U154" s="25"/>
      <c r="V154" s="25"/>
      <c r="W154" s="207"/>
      <c r="X154" s="562"/>
      <c r="Y154" s="25">
        <f>X129*M154</f>
        <v>3125</v>
      </c>
      <c r="Z154" s="25"/>
      <c r="AA154" s="25"/>
      <c r="AB154" s="207"/>
      <c r="AC154" s="25"/>
      <c r="AD154" s="25">
        <f>AC129*M154</f>
        <v>3750</v>
      </c>
      <c r="AE154" s="25"/>
      <c r="AF154" s="25"/>
      <c r="AG154" s="207"/>
      <c r="AH154" s="893"/>
      <c r="AI154" s="25"/>
      <c r="AJ154" s="180"/>
      <c r="AK154" s="25"/>
      <c r="AL154" s="207"/>
      <c r="AM154" s="25"/>
      <c r="AN154" s="541"/>
      <c r="AO154" s="600">
        <v>2500</v>
      </c>
      <c r="AP154" s="600"/>
      <c r="AQ154" s="601" t="s">
        <v>127</v>
      </c>
      <c r="AR154" s="600"/>
      <c r="AS154" s="596">
        <f>AO154-T154</f>
        <v>-250</v>
      </c>
      <c r="AT154" s="25"/>
      <c r="AU154" s="25"/>
      <c r="AV154" s="25"/>
      <c r="AW154" s="25"/>
      <c r="AX154" s="25">
        <v>3620</v>
      </c>
      <c r="AY154" s="25"/>
      <c r="AZ154" s="207"/>
      <c r="BA154" s="180"/>
      <c r="BB154" s="25"/>
      <c r="BC154" s="25"/>
      <c r="BD154" s="25"/>
      <c r="BE154" s="25">
        <v>4972</v>
      </c>
      <c r="BF154" s="25"/>
      <c r="BG154" s="207"/>
      <c r="BH154" s="180"/>
      <c r="BJ154" s="25"/>
      <c r="BK154" s="50"/>
      <c r="BL154" s="25"/>
      <c r="BN154" s="25"/>
      <c r="BO154" s="50"/>
      <c r="BP154" s="25"/>
      <c r="BR154" s="25"/>
      <c r="BS154" s="50">
        <v>5</v>
      </c>
      <c r="BT154" s="25">
        <f t="shared" si="26"/>
        <v>3620</v>
      </c>
    </row>
    <row r="155" spans="1:72" ht="15.6">
      <c r="A155" s="815"/>
      <c r="B155" s="848" t="s">
        <v>365</v>
      </c>
      <c r="D155" s="11"/>
      <c r="E155" s="1" t="s">
        <v>370</v>
      </c>
      <c r="F155" s="11"/>
      <c r="G155" s="11"/>
      <c r="H155" s="11"/>
      <c r="I155" s="11"/>
      <c r="J155" s="26"/>
      <c r="K155" s="25"/>
      <c r="L155" s="50">
        <f>M155/$K$56</f>
        <v>6.1619718309859151</v>
      </c>
      <c r="M155" s="801">
        <v>3500</v>
      </c>
      <c r="N155" s="1081"/>
      <c r="O155" s="1145">
        <f t="shared" si="27"/>
        <v>6.1619718309859151</v>
      </c>
      <c r="P155" s="1145">
        <f>M155</f>
        <v>3500</v>
      </c>
      <c r="Q155" s="1081"/>
      <c r="R155" s="207"/>
      <c r="S155" s="562"/>
      <c r="T155" s="25">
        <f>S129*M155</f>
        <v>3850.0000000000005</v>
      </c>
      <c r="U155" s="25"/>
      <c r="V155" s="25"/>
      <c r="W155" s="207"/>
      <c r="X155" s="562"/>
      <c r="Y155" s="25">
        <f>X129*M155</f>
        <v>4375</v>
      </c>
      <c r="Z155" s="25"/>
      <c r="AA155" s="25"/>
      <c r="AB155" s="207"/>
      <c r="AC155" s="25"/>
      <c r="AD155" s="25">
        <f>AC129*M155</f>
        <v>5250</v>
      </c>
      <c r="AE155" s="25"/>
      <c r="AF155" s="25"/>
      <c r="AG155" s="207"/>
      <c r="AH155" s="893"/>
      <c r="AI155" s="25"/>
      <c r="AJ155" s="180"/>
      <c r="AK155" s="25"/>
      <c r="AL155" s="207"/>
      <c r="AM155" s="25"/>
      <c r="AN155" s="541"/>
      <c r="AO155" s="600">
        <v>3500</v>
      </c>
      <c r="AP155" s="600"/>
      <c r="AQ155" s="601" t="s">
        <v>127</v>
      </c>
      <c r="AR155" s="600"/>
      <c r="AS155" s="596">
        <f>AO155-T155</f>
        <v>-350.00000000000045</v>
      </c>
      <c r="AT155" s="25"/>
      <c r="AU155" s="25"/>
      <c r="AV155" s="25"/>
      <c r="AW155" s="25"/>
      <c r="AX155" s="25">
        <v>3403</v>
      </c>
      <c r="AY155" s="25"/>
      <c r="AZ155" s="207"/>
      <c r="BA155" s="180"/>
      <c r="BB155" s="25"/>
      <c r="BC155" s="25"/>
      <c r="BD155" s="25"/>
      <c r="BE155" s="25">
        <v>4659</v>
      </c>
      <c r="BF155" s="25"/>
      <c r="BG155" s="207"/>
      <c r="BH155" s="180"/>
      <c r="BJ155" s="25"/>
      <c r="BK155" s="50"/>
      <c r="BL155" s="25"/>
      <c r="BN155" s="25"/>
      <c r="BO155" s="50"/>
      <c r="BP155" s="25"/>
      <c r="BR155" s="25"/>
      <c r="BS155" s="50">
        <v>4.7</v>
      </c>
      <c r="BT155" s="25">
        <f t="shared" ref="BT155" si="28">BS155*BR$55</f>
        <v>3402.8</v>
      </c>
    </row>
    <row r="156" spans="1:72" ht="15.6">
      <c r="A156" s="815"/>
      <c r="B156" s="848" t="s">
        <v>371</v>
      </c>
      <c r="D156" s="11"/>
      <c r="E156" s="1" t="s">
        <v>372</v>
      </c>
      <c r="F156" s="792" t="s">
        <v>373</v>
      </c>
      <c r="G156" s="11"/>
      <c r="H156" s="11"/>
      <c r="I156" s="11"/>
      <c r="J156" s="26"/>
      <c r="K156" s="25"/>
      <c r="L156" s="50">
        <f>M156/$K$56</f>
        <v>2.640845070422535</v>
      </c>
      <c r="M156" s="801">
        <v>1500</v>
      </c>
      <c r="N156" s="1081"/>
      <c r="O156" s="1145">
        <f t="shared" si="27"/>
        <v>2.640845070422535</v>
      </c>
      <c r="P156" s="1145">
        <f>M156</f>
        <v>1500</v>
      </c>
      <c r="Q156" s="1081"/>
      <c r="R156" s="207"/>
      <c r="S156" s="562"/>
      <c r="T156" s="25">
        <f>S129*M156</f>
        <v>1650.0000000000002</v>
      </c>
      <c r="U156" s="25"/>
      <c r="V156" s="25"/>
      <c r="W156" s="207"/>
      <c r="X156" s="562"/>
      <c r="Y156" s="25">
        <f>X129*M156</f>
        <v>1875</v>
      </c>
      <c r="Z156" s="25"/>
      <c r="AA156" s="25"/>
      <c r="AB156" s="207"/>
      <c r="AC156" s="25"/>
      <c r="AD156" s="25">
        <f>AC129*M156</f>
        <v>2250</v>
      </c>
      <c r="AE156" s="25"/>
      <c r="AF156" s="25"/>
      <c r="AG156" s="207"/>
      <c r="AH156" s="893"/>
      <c r="AI156" s="25"/>
      <c r="AJ156" s="180"/>
      <c r="AK156" s="25"/>
      <c r="AL156" s="207"/>
      <c r="AM156" s="25"/>
      <c r="AN156" s="541"/>
      <c r="AO156" s="600">
        <v>1500</v>
      </c>
      <c r="AP156" s="600"/>
      <c r="AQ156" s="601" t="s">
        <v>163</v>
      </c>
      <c r="AR156" s="600"/>
      <c r="AS156" s="596">
        <f>AO156-T156</f>
        <v>-150.00000000000023</v>
      </c>
      <c r="AT156" s="25"/>
      <c r="AU156" s="25"/>
      <c r="AV156" s="25"/>
      <c r="AW156" s="25"/>
      <c r="AX156" s="25"/>
      <c r="AY156" s="25"/>
      <c r="AZ156" s="207"/>
      <c r="BA156" s="180"/>
      <c r="BB156" s="25"/>
      <c r="BC156" s="25"/>
      <c r="BD156" s="25"/>
      <c r="BE156" s="25"/>
      <c r="BF156" s="25"/>
      <c r="BG156" s="207"/>
      <c r="BH156" s="180"/>
      <c r="BJ156" s="25"/>
      <c r="BK156" s="50"/>
      <c r="BL156" s="25"/>
      <c r="BN156" s="25"/>
      <c r="BO156" s="50"/>
      <c r="BP156" s="25"/>
      <c r="BR156" s="25"/>
      <c r="BS156" s="50"/>
      <c r="BT156" s="25"/>
    </row>
    <row r="157" spans="1:72" ht="14.4" thickBot="1">
      <c r="D157" s="1159"/>
      <c r="E157" s="1160"/>
      <c r="F157" s="1159"/>
      <c r="G157" s="1159"/>
      <c r="H157" s="11"/>
      <c r="I157" s="11"/>
      <c r="J157" s="26"/>
      <c r="K157" s="1161"/>
      <c r="L157" s="1162"/>
      <c r="M157" s="1161"/>
      <c r="N157" s="1089"/>
      <c r="O157" s="1163"/>
      <c r="P157" s="1163"/>
      <c r="Q157" s="1089"/>
      <c r="R157" s="207"/>
      <c r="S157" s="562"/>
      <c r="T157" s="25"/>
      <c r="U157" s="25"/>
      <c r="V157" s="25"/>
      <c r="W157" s="207"/>
      <c r="X157" s="25"/>
      <c r="Y157" s="25"/>
      <c r="Z157" s="25"/>
      <c r="AA157" s="25"/>
      <c r="AB157" s="207"/>
      <c r="AC157" s="25"/>
      <c r="AD157" s="25"/>
      <c r="AE157" s="25"/>
      <c r="AF157" s="25"/>
      <c r="AG157" s="207"/>
      <c r="AH157" s="893"/>
      <c r="AI157" s="25"/>
      <c r="AJ157" s="180"/>
      <c r="AK157" s="25"/>
      <c r="AL157" s="207"/>
      <c r="AM157" s="25"/>
      <c r="AN157" s="541"/>
      <c r="AO157" s="25"/>
      <c r="AP157" s="25"/>
      <c r="AQ157" s="180"/>
      <c r="AR157" s="25"/>
      <c r="AS157" s="501"/>
      <c r="AT157" s="25"/>
      <c r="AU157" s="25"/>
      <c r="AV157" s="25"/>
      <c r="AW157" s="25"/>
      <c r="AX157" s="25"/>
      <c r="AY157" s="25"/>
      <c r="AZ157" s="207"/>
      <c r="BA157" s="180"/>
      <c r="BB157" s="25"/>
      <c r="BC157" s="25"/>
      <c r="BD157" s="25"/>
      <c r="BE157" s="25"/>
      <c r="BF157" s="25"/>
      <c r="BG157" s="207"/>
      <c r="BH157" s="180"/>
      <c r="BJ157" s="25"/>
      <c r="BK157" s="50"/>
      <c r="BL157" s="25"/>
      <c r="BN157" s="25"/>
      <c r="BO157" s="50"/>
      <c r="BP157" s="25"/>
      <c r="BR157" s="25"/>
      <c r="BS157" s="50"/>
      <c r="BT157" s="25"/>
    </row>
    <row r="158" spans="1:72" ht="15.6" hidden="1">
      <c r="A158" s="820"/>
      <c r="B158" s="856" t="s">
        <v>375</v>
      </c>
      <c r="C158" s="163" t="s">
        <v>48</v>
      </c>
      <c r="D158" s="163"/>
      <c r="E158" s="164"/>
      <c r="F158" s="163"/>
      <c r="G158" s="163"/>
      <c r="H158" s="163"/>
      <c r="I158" s="163"/>
      <c r="J158" s="10"/>
      <c r="K158" s="166"/>
      <c r="L158" s="166"/>
      <c r="M158" s="165">
        <v>0</v>
      </c>
      <c r="N158" s="1087"/>
      <c r="O158" s="1131"/>
      <c r="P158" s="1131"/>
      <c r="Q158" s="1089"/>
      <c r="R158" s="216"/>
      <c r="S158" s="573">
        <v>1.1000000000000001</v>
      </c>
      <c r="T158" s="165">
        <f>S158*M158</f>
        <v>0</v>
      </c>
      <c r="U158" s="165"/>
      <c r="V158" s="165"/>
      <c r="W158" s="216"/>
      <c r="X158" s="573">
        <v>1.25</v>
      </c>
      <c r="Y158" s="165">
        <f>X158*M158</f>
        <v>0</v>
      </c>
      <c r="Z158" s="165"/>
      <c r="AA158" s="165"/>
      <c r="AB158" s="216"/>
      <c r="AC158" s="573">
        <v>1.5</v>
      </c>
      <c r="AD158" s="165">
        <f>AC158*M158</f>
        <v>0</v>
      </c>
      <c r="AE158" s="165"/>
      <c r="AF158" s="165"/>
      <c r="AG158" s="216"/>
      <c r="AH158" s="908">
        <f>_xlfn.PERCENTOF(M158,M176)</f>
        <v>0</v>
      </c>
      <c r="AI158" s="165"/>
      <c r="AJ158" s="518">
        <f>MROUND(M158,1000)</f>
        <v>0</v>
      </c>
      <c r="AK158" s="165"/>
      <c r="AL158" s="216"/>
      <c r="AM158" s="165"/>
      <c r="AN158" s="549"/>
      <c r="AO158" s="165">
        <v>0</v>
      </c>
      <c r="AP158" s="165"/>
      <c r="AQ158" s="518"/>
      <c r="AR158" s="165"/>
      <c r="AS158" s="173">
        <f>AO158-T158</f>
        <v>0</v>
      </c>
      <c r="AT158" s="165"/>
      <c r="AU158" s="8"/>
      <c r="AV158" s="8"/>
      <c r="AW158" s="165"/>
      <c r="AX158" s="165">
        <v>0</v>
      </c>
      <c r="AY158" s="165"/>
      <c r="AZ158" s="216"/>
      <c r="BA158" s="188">
        <f>M158-AX158</f>
        <v>0</v>
      </c>
      <c r="BB158" s="8"/>
      <c r="BC158" s="8"/>
      <c r="BD158" s="165"/>
      <c r="BE158" s="165">
        <v>18513</v>
      </c>
      <c r="BF158" s="165"/>
      <c r="BG158" s="216"/>
      <c r="BH158" s="188">
        <f>M158-BE158</f>
        <v>-18513</v>
      </c>
      <c r="BJ158" s="25"/>
      <c r="BK158" s="50"/>
      <c r="BL158" s="25"/>
      <c r="BN158" s="25"/>
      <c r="BO158" s="50"/>
      <c r="BP158" s="25"/>
      <c r="BR158" s="25"/>
      <c r="BS158" s="50"/>
      <c r="BT158" s="25"/>
    </row>
    <row r="159" spans="1:72" ht="15.6" hidden="1">
      <c r="B159" s="848"/>
      <c r="C159" s="760"/>
      <c r="D159" s="760"/>
      <c r="E159" s="7"/>
      <c r="F159" s="760"/>
      <c r="G159" s="760"/>
      <c r="H159" s="760"/>
      <c r="I159" s="760"/>
      <c r="J159" s="10"/>
      <c r="K159" s="6"/>
      <c r="L159" s="6"/>
      <c r="M159" s="8"/>
      <c r="N159" s="1087"/>
      <c r="O159" s="1131"/>
      <c r="P159" s="1131"/>
      <c r="Q159" s="1089"/>
      <c r="R159" s="198"/>
      <c r="S159" s="564"/>
      <c r="T159" s="8"/>
      <c r="U159" s="8"/>
      <c r="V159" s="8"/>
      <c r="W159" s="198"/>
      <c r="X159" s="564"/>
      <c r="Y159" s="8"/>
      <c r="Z159" s="8"/>
      <c r="AA159" s="8"/>
      <c r="AB159" s="198"/>
      <c r="AC159" s="564"/>
      <c r="AD159" s="8"/>
      <c r="AE159" s="8"/>
      <c r="AF159" s="8"/>
      <c r="AG159" s="198"/>
      <c r="AH159" s="889"/>
      <c r="AI159" s="8"/>
      <c r="AJ159" s="144"/>
      <c r="AK159" s="8"/>
      <c r="AL159" s="198"/>
      <c r="AM159" s="8"/>
      <c r="AN159" s="534"/>
      <c r="AO159" s="8"/>
      <c r="AP159" s="8"/>
      <c r="AQ159" s="144"/>
      <c r="AR159" s="8"/>
      <c r="AS159" s="497"/>
      <c r="AT159" s="8"/>
      <c r="AU159" s="8"/>
      <c r="AV159" s="8"/>
      <c r="AW159" s="8"/>
      <c r="AX159" s="8"/>
      <c r="AY159" s="8"/>
      <c r="AZ159" s="198"/>
      <c r="BA159" s="790"/>
      <c r="BB159" s="8"/>
      <c r="BC159" s="8"/>
      <c r="BD159" s="8"/>
      <c r="BE159" s="8"/>
      <c r="BF159" s="8"/>
      <c r="BG159" s="198"/>
      <c r="BH159" s="790"/>
      <c r="BJ159" s="25"/>
      <c r="BK159" s="50"/>
      <c r="BL159" s="25"/>
      <c r="BN159" s="25"/>
      <c r="BO159" s="50"/>
      <c r="BP159" s="25"/>
      <c r="BR159" s="25"/>
      <c r="BS159" s="50"/>
      <c r="BT159" s="25"/>
    </row>
    <row r="160" spans="1:72" ht="15.6" hidden="1">
      <c r="A160" s="824"/>
      <c r="B160" s="857" t="s">
        <v>387</v>
      </c>
      <c r="C160" s="829" t="s">
        <v>392</v>
      </c>
      <c r="D160" s="829"/>
      <c r="E160" s="830"/>
      <c r="F160" s="829"/>
      <c r="G160" s="829"/>
      <c r="H160" s="760"/>
      <c r="I160" s="760"/>
      <c r="J160" s="10"/>
      <c r="K160" s="831"/>
      <c r="L160" s="831"/>
      <c r="M160" s="832"/>
      <c r="N160" s="1087"/>
      <c r="O160" s="1131"/>
      <c r="P160" s="1131"/>
      <c r="Q160" s="1089"/>
      <c r="R160" s="833"/>
      <c r="S160" s="834"/>
      <c r="T160" s="832">
        <f>SUM(T162:T170)</f>
        <v>0</v>
      </c>
      <c r="U160" s="832"/>
      <c r="V160" s="832"/>
      <c r="W160" s="833"/>
      <c r="X160" s="834"/>
      <c r="Y160" s="832"/>
      <c r="Z160" s="832"/>
      <c r="AA160" s="832"/>
      <c r="AB160" s="833"/>
      <c r="AC160" s="834"/>
      <c r="AD160" s="832"/>
      <c r="AE160" s="832"/>
      <c r="AF160" s="832"/>
      <c r="AG160" s="833"/>
      <c r="AH160" s="909">
        <f>_xlfn.PERCENTOF(M160,M176)</f>
        <v>0</v>
      </c>
      <c r="AI160" s="832"/>
      <c r="AJ160" s="836"/>
      <c r="AK160" s="832"/>
      <c r="AL160" s="833"/>
      <c r="AM160" s="832"/>
      <c r="AN160" s="835"/>
      <c r="AO160" s="832">
        <f>SUM(AO162:AO170)</f>
        <v>0</v>
      </c>
      <c r="AP160" s="832"/>
      <c r="AQ160" s="836"/>
      <c r="AR160" s="832"/>
      <c r="AS160" s="837">
        <f>AO160-AO177</f>
        <v>-350283</v>
      </c>
      <c r="AT160" s="832"/>
      <c r="AU160" s="8"/>
      <c r="AV160" s="8"/>
      <c r="AW160" s="832"/>
      <c r="AX160" s="832"/>
      <c r="AY160" s="832"/>
      <c r="AZ160" s="833"/>
      <c r="BA160" s="838"/>
      <c r="BB160" s="8"/>
      <c r="BC160" s="8"/>
      <c r="BD160" s="832"/>
      <c r="BE160" s="832"/>
      <c r="BF160" s="832"/>
      <c r="BG160" s="833"/>
      <c r="BH160" s="838"/>
      <c r="BJ160" s="25"/>
      <c r="BK160" s="50"/>
      <c r="BL160" s="25"/>
      <c r="BN160" s="25"/>
      <c r="BO160" s="50"/>
      <c r="BP160" s="25"/>
      <c r="BR160" s="25"/>
      <c r="BS160" s="50"/>
      <c r="BT160" s="25"/>
    </row>
    <row r="161" spans="1:74" ht="15.6" hidden="1">
      <c r="A161" s="824"/>
      <c r="B161" s="848"/>
      <c r="C161" s="760"/>
      <c r="D161" s="89" t="s">
        <v>393</v>
      </c>
      <c r="E161" s="74"/>
      <c r="F161" s="802"/>
      <c r="G161" s="75"/>
      <c r="H161" s="760"/>
      <c r="I161" s="760"/>
      <c r="J161" s="10"/>
      <c r="K161" s="6"/>
      <c r="L161" s="6"/>
      <c r="M161" s="8"/>
      <c r="N161" s="1087"/>
      <c r="O161" s="1131"/>
      <c r="P161" s="1131"/>
      <c r="Q161" s="1089"/>
      <c r="R161" s="198"/>
      <c r="S161" s="564"/>
      <c r="T161" s="8"/>
      <c r="U161" s="8"/>
      <c r="V161" s="8"/>
      <c r="W161" s="198"/>
      <c r="X161" s="564"/>
      <c r="Y161" s="8"/>
      <c r="Z161" s="8"/>
      <c r="AA161" s="8"/>
      <c r="AB161" s="198"/>
      <c r="AC161" s="564"/>
      <c r="AD161" s="8"/>
      <c r="AE161" s="8"/>
      <c r="AF161" s="8"/>
      <c r="AG161" s="198"/>
      <c r="AH161" s="889"/>
      <c r="AI161" s="8"/>
      <c r="AJ161" s="144"/>
      <c r="AK161" s="8"/>
      <c r="AL161" s="198"/>
      <c r="AM161" s="8"/>
      <c r="AN161" s="534"/>
      <c r="AO161" s="8"/>
      <c r="AP161" s="8"/>
      <c r="AQ161" s="144"/>
      <c r="AR161" s="8"/>
      <c r="AS161" s="497"/>
      <c r="AT161" s="8"/>
      <c r="AU161" s="8"/>
      <c r="AV161" s="8"/>
      <c r="AW161" s="8"/>
      <c r="AX161" s="8"/>
      <c r="AY161" s="8"/>
      <c r="AZ161" s="198"/>
      <c r="BA161" s="790"/>
      <c r="BB161" s="8"/>
      <c r="BC161" s="8"/>
      <c r="BD161" s="8"/>
      <c r="BE161" s="8"/>
      <c r="BF161" s="8"/>
      <c r="BG161" s="198"/>
      <c r="BH161" s="790"/>
      <c r="BJ161" s="25"/>
      <c r="BK161" s="50"/>
      <c r="BL161" s="25"/>
      <c r="BN161" s="25"/>
      <c r="BO161" s="50"/>
      <c r="BP161" s="25"/>
      <c r="BR161" s="25"/>
      <c r="BS161" s="50"/>
      <c r="BT161" s="25"/>
    </row>
    <row r="162" spans="1:74" ht="15.6" hidden="1">
      <c r="A162" s="825" t="s">
        <v>0</v>
      </c>
      <c r="B162" s="848"/>
      <c r="C162" s="760"/>
      <c r="D162" s="760"/>
      <c r="E162" s="1" t="s">
        <v>391</v>
      </c>
      <c r="F162" s="760"/>
      <c r="G162" s="760"/>
      <c r="H162" s="760"/>
      <c r="I162" s="760"/>
      <c r="J162" s="10"/>
      <c r="K162" s="6"/>
      <c r="L162" s="6"/>
      <c r="M162" s="8"/>
      <c r="N162" s="1087"/>
      <c r="O162" s="1131"/>
      <c r="P162" s="1131"/>
      <c r="Q162" s="1089"/>
      <c r="R162" s="198"/>
      <c r="S162" s="564"/>
      <c r="T162" s="35">
        <v>0</v>
      </c>
      <c r="U162" s="8"/>
      <c r="V162" s="8"/>
      <c r="W162" s="198"/>
      <c r="X162" s="564"/>
      <c r="Y162" s="8"/>
      <c r="Z162" s="8"/>
      <c r="AA162" s="8"/>
      <c r="AB162" s="198"/>
      <c r="AC162" s="564"/>
      <c r="AD162" s="8"/>
      <c r="AE162" s="8"/>
      <c r="AF162" s="8"/>
      <c r="AG162" s="198"/>
      <c r="AH162" s="889"/>
      <c r="AI162" s="8"/>
      <c r="AJ162" s="144"/>
      <c r="AK162" s="8"/>
      <c r="AL162" s="198"/>
      <c r="AM162" s="8"/>
      <c r="AN162" s="534"/>
      <c r="AO162" s="600">
        <v>0</v>
      </c>
      <c r="AP162" s="600"/>
      <c r="AQ162" s="601"/>
      <c r="AR162" s="600"/>
      <c r="AS162" s="596">
        <f t="shared" ref="AS162:AS170" si="29">AO162-T162</f>
        <v>0</v>
      </c>
      <c r="AT162" s="8"/>
      <c r="AU162" s="8"/>
      <c r="AV162" s="8"/>
      <c r="AW162" s="8"/>
      <c r="AX162" s="8"/>
      <c r="AY162" s="8"/>
      <c r="AZ162" s="198"/>
      <c r="BA162" s="790"/>
      <c r="BB162" s="8"/>
      <c r="BC162" s="8"/>
      <c r="BD162" s="8"/>
      <c r="BE162" s="8"/>
      <c r="BF162" s="8"/>
      <c r="BG162" s="198"/>
      <c r="BH162" s="790"/>
      <c r="BJ162" s="25"/>
      <c r="BK162" s="50"/>
      <c r="BL162" s="25"/>
      <c r="BN162" s="25"/>
      <c r="BO162" s="50"/>
      <c r="BP162" s="25"/>
      <c r="BR162" s="25"/>
      <c r="BS162" s="50"/>
      <c r="BT162" s="25"/>
    </row>
    <row r="163" spans="1:74" ht="15.6" hidden="1">
      <c r="A163" s="824"/>
      <c r="B163" s="848"/>
      <c r="C163" s="760"/>
      <c r="D163" s="760"/>
      <c r="E163" s="1" t="s">
        <v>389</v>
      </c>
      <c r="F163" s="760"/>
      <c r="G163" s="760"/>
      <c r="H163" s="760"/>
      <c r="I163" s="760"/>
      <c r="J163" s="10"/>
      <c r="K163" s="6"/>
      <c r="L163" s="6"/>
      <c r="M163" s="8"/>
      <c r="N163" s="1087"/>
      <c r="O163" s="1131"/>
      <c r="P163" s="1131"/>
      <c r="Q163" s="1089"/>
      <c r="R163" s="198"/>
      <c r="S163" s="564"/>
      <c r="T163" s="35">
        <v>0</v>
      </c>
      <c r="U163" s="8"/>
      <c r="V163" s="8"/>
      <c r="W163" s="198"/>
      <c r="X163" s="564"/>
      <c r="Y163" s="8"/>
      <c r="Z163" s="8"/>
      <c r="AA163" s="8"/>
      <c r="AB163" s="198"/>
      <c r="AC163" s="564"/>
      <c r="AD163" s="8"/>
      <c r="AE163" s="8"/>
      <c r="AF163" s="8"/>
      <c r="AG163" s="198"/>
      <c r="AH163" s="889"/>
      <c r="AI163" s="8"/>
      <c r="AJ163" s="144"/>
      <c r="AK163" s="8"/>
      <c r="AL163" s="198"/>
      <c r="AM163" s="8"/>
      <c r="AN163" s="534"/>
      <c r="AO163" s="600">
        <v>0</v>
      </c>
      <c r="AP163" s="600"/>
      <c r="AQ163" s="601"/>
      <c r="AR163" s="600"/>
      <c r="AS163" s="596">
        <f t="shared" si="29"/>
        <v>0</v>
      </c>
      <c r="AT163" s="8"/>
      <c r="AU163" s="8"/>
      <c r="AV163" s="8"/>
      <c r="AW163" s="8"/>
      <c r="AX163" s="8"/>
      <c r="AY163" s="8"/>
      <c r="AZ163" s="198"/>
      <c r="BA163" s="790"/>
      <c r="BB163" s="8"/>
      <c r="BC163" s="8"/>
      <c r="BD163" s="8"/>
      <c r="BE163" s="8"/>
      <c r="BF163" s="8"/>
      <c r="BG163" s="198"/>
      <c r="BH163" s="790"/>
      <c r="BJ163" s="25"/>
      <c r="BK163" s="50"/>
      <c r="BL163" s="25"/>
      <c r="BN163" s="25"/>
      <c r="BO163" s="50"/>
      <c r="BP163" s="25"/>
      <c r="BR163" s="25"/>
      <c r="BS163" s="50"/>
      <c r="BT163" s="25"/>
    </row>
    <row r="164" spans="1:74" ht="15.6" hidden="1">
      <c r="A164" s="825" t="s">
        <v>0</v>
      </c>
      <c r="B164" s="848"/>
      <c r="C164" s="760"/>
      <c r="D164" s="760"/>
      <c r="E164" s="1" t="s">
        <v>396</v>
      </c>
      <c r="F164" s="760"/>
      <c r="G164" s="760"/>
      <c r="H164" s="760"/>
      <c r="I164" s="760"/>
      <c r="J164" s="10"/>
      <c r="K164" s="6"/>
      <c r="L164" s="6"/>
      <c r="M164" s="8"/>
      <c r="N164" s="1087"/>
      <c r="O164" s="1131"/>
      <c r="P164" s="1131"/>
      <c r="Q164" s="1089"/>
      <c r="R164" s="198"/>
      <c r="S164" s="564"/>
      <c r="T164" s="35">
        <v>0</v>
      </c>
      <c r="U164" s="8"/>
      <c r="V164" s="8"/>
      <c r="W164" s="198"/>
      <c r="X164" s="564"/>
      <c r="Y164" s="8"/>
      <c r="Z164" s="8"/>
      <c r="AA164" s="8"/>
      <c r="AB164" s="198"/>
      <c r="AC164" s="564"/>
      <c r="AD164" s="8"/>
      <c r="AE164" s="8"/>
      <c r="AF164" s="8"/>
      <c r="AG164" s="198"/>
      <c r="AH164" s="889"/>
      <c r="AI164" s="8"/>
      <c r="AJ164" s="144"/>
      <c r="AK164" s="8"/>
      <c r="AL164" s="198"/>
      <c r="AM164" s="8"/>
      <c r="AN164" s="534"/>
      <c r="AO164" s="600">
        <v>0</v>
      </c>
      <c r="AP164" s="600"/>
      <c r="AQ164" s="601"/>
      <c r="AR164" s="600"/>
      <c r="AS164" s="596">
        <f t="shared" si="29"/>
        <v>0</v>
      </c>
      <c r="AT164" s="8"/>
      <c r="AU164" s="8"/>
      <c r="AV164" s="8"/>
      <c r="AW164" s="8"/>
      <c r="AX164" s="8"/>
      <c r="AY164" s="8"/>
      <c r="AZ164" s="198"/>
      <c r="BA164" s="790"/>
      <c r="BB164" s="8"/>
      <c r="BC164" s="8"/>
      <c r="BD164" s="8"/>
      <c r="BE164" s="8"/>
      <c r="BF164" s="8"/>
      <c r="BG164" s="198"/>
      <c r="BH164" s="790"/>
      <c r="BJ164" s="25"/>
      <c r="BK164" s="50"/>
      <c r="BL164" s="25"/>
      <c r="BN164" s="25"/>
      <c r="BO164" s="50"/>
      <c r="BP164" s="25"/>
      <c r="BR164" s="25"/>
      <c r="BS164" s="50"/>
      <c r="BT164" s="25"/>
    </row>
    <row r="165" spans="1:74" ht="15.6" hidden="1">
      <c r="A165" s="826" t="s">
        <v>0</v>
      </c>
      <c r="B165" s="848"/>
      <c r="C165" s="760"/>
      <c r="D165" s="760"/>
      <c r="E165" s="1" t="s">
        <v>397</v>
      </c>
      <c r="F165" s="760"/>
      <c r="G165" s="760"/>
      <c r="H165" s="760"/>
      <c r="I165" s="760"/>
      <c r="J165" s="10"/>
      <c r="K165" s="6"/>
      <c r="L165" s="6"/>
      <c r="M165" s="8"/>
      <c r="N165" s="1087"/>
      <c r="O165" s="1131"/>
      <c r="P165" s="1131"/>
      <c r="Q165" s="1089"/>
      <c r="R165" s="198"/>
      <c r="S165" s="564"/>
      <c r="T165" s="35">
        <v>0</v>
      </c>
      <c r="U165" s="8"/>
      <c r="V165" s="8"/>
      <c r="W165" s="198"/>
      <c r="X165" s="564"/>
      <c r="Y165" s="8"/>
      <c r="Z165" s="8"/>
      <c r="AA165" s="8"/>
      <c r="AB165" s="198"/>
      <c r="AC165" s="564"/>
      <c r="AD165" s="8"/>
      <c r="AE165" s="8"/>
      <c r="AF165" s="8"/>
      <c r="AG165" s="198"/>
      <c r="AH165" s="889"/>
      <c r="AI165" s="8"/>
      <c r="AJ165" s="144"/>
      <c r="AK165" s="8"/>
      <c r="AL165" s="198"/>
      <c r="AM165" s="8"/>
      <c r="AN165" s="534"/>
      <c r="AO165" s="600">
        <v>0</v>
      </c>
      <c r="AP165" s="600"/>
      <c r="AQ165" s="601"/>
      <c r="AR165" s="600"/>
      <c r="AS165" s="596">
        <f t="shared" si="29"/>
        <v>0</v>
      </c>
      <c r="AT165" s="8"/>
      <c r="AU165" s="8"/>
      <c r="AV165" s="8"/>
      <c r="AW165" s="8"/>
      <c r="AX165" s="8"/>
      <c r="AY165" s="8"/>
      <c r="AZ165" s="198"/>
      <c r="BA165" s="790"/>
      <c r="BB165" s="8"/>
      <c r="BC165" s="8"/>
      <c r="BD165" s="8"/>
      <c r="BE165" s="8"/>
      <c r="BF165" s="8"/>
      <c r="BG165" s="198"/>
      <c r="BH165" s="790"/>
      <c r="BJ165" s="25"/>
      <c r="BK165" s="50"/>
      <c r="BL165" s="25"/>
      <c r="BN165" s="25"/>
      <c r="BO165" s="50"/>
      <c r="BP165" s="25"/>
      <c r="BR165" s="25"/>
      <c r="BS165" s="50"/>
      <c r="BT165" s="25"/>
    </row>
    <row r="166" spans="1:74" ht="15.6" hidden="1">
      <c r="A166" s="827" t="s">
        <v>0</v>
      </c>
      <c r="B166" s="848"/>
      <c r="C166" s="760"/>
      <c r="D166" s="760"/>
      <c r="E166" s="1" t="s">
        <v>400</v>
      </c>
      <c r="F166" s="760"/>
      <c r="G166" s="760"/>
      <c r="H166" s="760"/>
      <c r="I166" s="760"/>
      <c r="J166" s="10"/>
      <c r="K166" s="6"/>
      <c r="L166" s="6"/>
      <c r="M166" s="8"/>
      <c r="N166" s="1087"/>
      <c r="O166" s="1131"/>
      <c r="P166" s="1131"/>
      <c r="Q166" s="1089"/>
      <c r="R166" s="198"/>
      <c r="S166" s="564"/>
      <c r="T166" s="35">
        <v>0</v>
      </c>
      <c r="U166" s="8"/>
      <c r="V166" s="8"/>
      <c r="W166" s="198"/>
      <c r="X166" s="564"/>
      <c r="Y166" s="8"/>
      <c r="Z166" s="8"/>
      <c r="AA166" s="8"/>
      <c r="AB166" s="198"/>
      <c r="AC166" s="564"/>
      <c r="AD166" s="8"/>
      <c r="AE166" s="8"/>
      <c r="AF166" s="8"/>
      <c r="AG166" s="198"/>
      <c r="AH166" s="889"/>
      <c r="AI166" s="8"/>
      <c r="AJ166" s="144"/>
      <c r="AK166" s="8"/>
      <c r="AL166" s="198"/>
      <c r="AM166" s="8"/>
      <c r="AN166" s="534"/>
      <c r="AO166" s="600">
        <v>0</v>
      </c>
      <c r="AP166" s="600"/>
      <c r="AQ166" s="601"/>
      <c r="AR166" s="600"/>
      <c r="AS166" s="596">
        <f t="shared" si="29"/>
        <v>0</v>
      </c>
      <c r="AT166" s="8"/>
      <c r="AU166" s="8"/>
      <c r="AV166" s="8"/>
      <c r="AW166" s="8"/>
      <c r="AX166" s="8"/>
      <c r="AY166" s="8"/>
      <c r="AZ166" s="198"/>
      <c r="BA166" s="790"/>
      <c r="BB166" s="8"/>
      <c r="BC166" s="8"/>
      <c r="BD166" s="8"/>
      <c r="BE166" s="8"/>
      <c r="BF166" s="8"/>
      <c r="BG166" s="198"/>
      <c r="BH166" s="790"/>
      <c r="BJ166" s="25"/>
      <c r="BK166" s="50"/>
      <c r="BL166" s="25"/>
      <c r="BN166" s="25"/>
      <c r="BO166" s="50"/>
      <c r="BP166" s="25"/>
      <c r="BR166" s="25"/>
      <c r="BS166" s="50"/>
      <c r="BT166" s="25"/>
    </row>
    <row r="167" spans="1:74" ht="15.6" hidden="1">
      <c r="A167" s="828" t="s">
        <v>0</v>
      </c>
      <c r="B167" s="848"/>
      <c r="C167" s="760"/>
      <c r="D167" s="760"/>
      <c r="E167" s="1" t="s">
        <v>388</v>
      </c>
      <c r="F167" s="760"/>
      <c r="G167" s="760"/>
      <c r="H167" s="760"/>
      <c r="I167" s="760"/>
      <c r="J167" s="10"/>
      <c r="K167" s="6"/>
      <c r="L167" s="6"/>
      <c r="M167" s="8"/>
      <c r="N167" s="1087"/>
      <c r="O167" s="1131"/>
      <c r="P167" s="1131"/>
      <c r="Q167" s="1089"/>
      <c r="R167" s="198"/>
      <c r="S167" s="564"/>
      <c r="T167" s="35">
        <v>0</v>
      </c>
      <c r="U167" s="8"/>
      <c r="V167" s="8"/>
      <c r="W167" s="198"/>
      <c r="X167" s="564"/>
      <c r="Y167" s="8"/>
      <c r="Z167" s="8"/>
      <c r="AA167" s="8"/>
      <c r="AB167" s="198"/>
      <c r="AC167" s="564"/>
      <c r="AD167" s="8"/>
      <c r="AE167" s="8"/>
      <c r="AF167" s="8"/>
      <c r="AG167" s="198"/>
      <c r="AH167" s="889"/>
      <c r="AI167" s="8"/>
      <c r="AJ167" s="144"/>
      <c r="AK167" s="8"/>
      <c r="AL167" s="198"/>
      <c r="AM167" s="8"/>
      <c r="AN167" s="534"/>
      <c r="AO167" s="600">
        <v>0</v>
      </c>
      <c r="AP167" s="600"/>
      <c r="AQ167" s="601"/>
      <c r="AR167" s="600"/>
      <c r="AS167" s="596">
        <f t="shared" si="29"/>
        <v>0</v>
      </c>
      <c r="AT167" s="8"/>
      <c r="AU167" s="8"/>
      <c r="AV167" s="8"/>
      <c r="AW167" s="8"/>
      <c r="AX167" s="8"/>
      <c r="AY167" s="8"/>
      <c r="AZ167" s="198"/>
      <c r="BA167" s="790"/>
      <c r="BB167" s="8"/>
      <c r="BC167" s="8"/>
      <c r="BD167" s="8"/>
      <c r="BE167" s="8"/>
      <c r="BF167" s="8"/>
      <c r="BG167" s="198"/>
      <c r="BH167" s="790"/>
      <c r="BJ167" s="25"/>
      <c r="BK167" s="50"/>
      <c r="BL167" s="25"/>
      <c r="BN167" s="25"/>
      <c r="BO167" s="50"/>
      <c r="BP167" s="25"/>
      <c r="BR167" s="25"/>
      <c r="BS167" s="50"/>
      <c r="BT167" s="25"/>
    </row>
    <row r="168" spans="1:74" ht="15.6" hidden="1">
      <c r="A168" s="839" t="s">
        <v>0</v>
      </c>
      <c r="B168" s="848"/>
      <c r="C168" s="760"/>
      <c r="D168" s="760"/>
      <c r="E168" s="1" t="s">
        <v>390</v>
      </c>
      <c r="F168" s="760"/>
      <c r="G168" s="760"/>
      <c r="H168" s="760"/>
      <c r="I168" s="760"/>
      <c r="J168" s="10"/>
      <c r="K168" s="6"/>
      <c r="L168" s="6"/>
      <c r="M168" s="8"/>
      <c r="N168" s="1087"/>
      <c r="O168" s="1131"/>
      <c r="P168" s="1131"/>
      <c r="Q168" s="1089"/>
      <c r="R168" s="198"/>
      <c r="S168" s="564"/>
      <c r="T168" s="35">
        <v>0</v>
      </c>
      <c r="U168" s="8"/>
      <c r="V168" s="8"/>
      <c r="W168" s="198"/>
      <c r="X168" s="564"/>
      <c r="Y168" s="8"/>
      <c r="Z168" s="8"/>
      <c r="AA168" s="8"/>
      <c r="AB168" s="198"/>
      <c r="AC168" s="564"/>
      <c r="AD168" s="8"/>
      <c r="AE168" s="8"/>
      <c r="AF168" s="8"/>
      <c r="AG168" s="198"/>
      <c r="AH168" s="889"/>
      <c r="AI168" s="8"/>
      <c r="AJ168" s="144"/>
      <c r="AK168" s="8"/>
      <c r="AL168" s="198"/>
      <c r="AM168" s="8"/>
      <c r="AN168" s="534"/>
      <c r="AO168" s="600">
        <v>0</v>
      </c>
      <c r="AP168" s="600"/>
      <c r="AQ168" s="601"/>
      <c r="AR168" s="600"/>
      <c r="AS168" s="596">
        <f t="shared" si="29"/>
        <v>0</v>
      </c>
      <c r="AT168" s="8"/>
      <c r="AU168" s="8"/>
      <c r="AV168" s="8"/>
      <c r="AW168" s="8"/>
      <c r="AX168" s="8"/>
      <c r="AY168" s="8"/>
      <c r="AZ168" s="198"/>
      <c r="BA168" s="790"/>
      <c r="BB168" s="8"/>
      <c r="BC168" s="8"/>
      <c r="BD168" s="8"/>
      <c r="BE168" s="8"/>
      <c r="BF168" s="8"/>
      <c r="BG168" s="198"/>
      <c r="BH168" s="790"/>
      <c r="BJ168" s="25"/>
      <c r="BK168" s="50"/>
      <c r="BL168" s="25"/>
      <c r="BN168" s="25"/>
      <c r="BO168" s="50"/>
      <c r="BP168" s="25"/>
      <c r="BR168" s="25"/>
      <c r="BS168" s="50"/>
      <c r="BT168" s="25"/>
    </row>
    <row r="169" spans="1:74" ht="15.6" hidden="1">
      <c r="A169" s="839" t="s">
        <v>0</v>
      </c>
      <c r="B169" s="848"/>
      <c r="C169" s="760"/>
      <c r="D169" s="760"/>
      <c r="E169" s="1" t="s">
        <v>394</v>
      </c>
      <c r="F169" s="760"/>
      <c r="G169" s="760"/>
      <c r="H169" s="760"/>
      <c r="I169" s="760"/>
      <c r="J169" s="10"/>
      <c r="K169" s="6"/>
      <c r="L169" s="6"/>
      <c r="M169" s="8"/>
      <c r="N169" s="1087"/>
      <c r="O169" s="1131"/>
      <c r="P169" s="1131"/>
      <c r="Q169" s="1089"/>
      <c r="R169" s="198"/>
      <c r="S169" s="564"/>
      <c r="T169" s="35">
        <v>0</v>
      </c>
      <c r="U169" s="8"/>
      <c r="V169" s="8"/>
      <c r="W169" s="198"/>
      <c r="X169" s="564"/>
      <c r="Y169" s="8"/>
      <c r="Z169" s="8"/>
      <c r="AA169" s="8"/>
      <c r="AB169" s="198"/>
      <c r="AC169" s="564"/>
      <c r="AD169" s="8"/>
      <c r="AE169" s="8"/>
      <c r="AF169" s="8"/>
      <c r="AG169" s="198"/>
      <c r="AH169" s="889"/>
      <c r="AI169" s="8"/>
      <c r="AJ169" s="144"/>
      <c r="AK169" s="8"/>
      <c r="AL169" s="198"/>
      <c r="AM169" s="8"/>
      <c r="AN169" s="534"/>
      <c r="AO169" s="600">
        <v>0</v>
      </c>
      <c r="AP169" s="600"/>
      <c r="AQ169" s="601"/>
      <c r="AR169" s="600"/>
      <c r="AS169" s="596">
        <f t="shared" si="29"/>
        <v>0</v>
      </c>
      <c r="AT169" s="8"/>
      <c r="AU169" s="8"/>
      <c r="AV169" s="8"/>
      <c r="AW169" s="8"/>
      <c r="AX169" s="8"/>
      <c r="AY169" s="8"/>
      <c r="AZ169" s="198"/>
      <c r="BA169" s="790"/>
      <c r="BB169" s="8"/>
      <c r="BC169" s="8"/>
      <c r="BD169" s="8"/>
      <c r="BE169" s="8"/>
      <c r="BF169" s="8"/>
      <c r="BG169" s="198"/>
      <c r="BH169" s="790"/>
      <c r="BJ169" s="25"/>
      <c r="BK169" s="50"/>
      <c r="BL169" s="25"/>
      <c r="BN169" s="25"/>
      <c r="BO169" s="50"/>
      <c r="BP169" s="25"/>
      <c r="BR169" s="25"/>
      <c r="BS169" s="50"/>
      <c r="BT169" s="25"/>
    </row>
    <row r="170" spans="1:74" ht="15.6" hidden="1">
      <c r="A170" s="839" t="s">
        <v>0</v>
      </c>
      <c r="B170" s="848"/>
      <c r="C170" s="760"/>
      <c r="D170" s="760"/>
      <c r="E170" s="1" t="s">
        <v>395</v>
      </c>
      <c r="F170" s="760"/>
      <c r="G170" s="760"/>
      <c r="H170" s="760"/>
      <c r="I170" s="760"/>
      <c r="J170" s="10"/>
      <c r="K170" s="6"/>
      <c r="L170" s="6"/>
      <c r="M170" s="8"/>
      <c r="N170" s="1087"/>
      <c r="O170" s="1131"/>
      <c r="P170" s="1131"/>
      <c r="Q170" s="1089"/>
      <c r="R170" s="198"/>
      <c r="S170" s="564"/>
      <c r="T170" s="35">
        <v>0</v>
      </c>
      <c r="U170" s="8"/>
      <c r="V170" s="8"/>
      <c r="W170" s="198"/>
      <c r="X170" s="564"/>
      <c r="Y170" s="8"/>
      <c r="Z170" s="8"/>
      <c r="AA170" s="8"/>
      <c r="AB170" s="198"/>
      <c r="AC170" s="564"/>
      <c r="AD170" s="8"/>
      <c r="AE170" s="8"/>
      <c r="AF170" s="8"/>
      <c r="AG170" s="198"/>
      <c r="AH170" s="889"/>
      <c r="AI170" s="8"/>
      <c r="AJ170" s="144"/>
      <c r="AK170" s="8"/>
      <c r="AL170" s="198"/>
      <c r="AM170" s="8"/>
      <c r="AN170" s="534"/>
      <c r="AO170" s="600">
        <v>0</v>
      </c>
      <c r="AP170" s="600"/>
      <c r="AQ170" s="601"/>
      <c r="AR170" s="600"/>
      <c r="AS170" s="596">
        <f t="shared" si="29"/>
        <v>0</v>
      </c>
      <c r="AT170" s="8"/>
      <c r="AU170" s="8"/>
      <c r="AV170" s="8"/>
      <c r="AW170" s="8"/>
      <c r="AX170" s="8"/>
      <c r="AY170" s="8"/>
      <c r="AZ170" s="198"/>
      <c r="BA170" s="790"/>
      <c r="BB170" s="8"/>
      <c r="BC170" s="8"/>
      <c r="BD170" s="8"/>
      <c r="BE170" s="8"/>
      <c r="BF170" s="8"/>
      <c r="BG170" s="198"/>
      <c r="BH170" s="790"/>
      <c r="BJ170" s="25"/>
      <c r="BK170" s="50"/>
      <c r="BL170" s="25"/>
      <c r="BN170" s="25"/>
      <c r="BO170" s="50"/>
      <c r="BP170" s="25"/>
      <c r="BR170" s="25"/>
      <c r="BS170" s="50"/>
      <c r="BT170" s="25"/>
    </row>
    <row r="171" spans="1:74" ht="15.6" hidden="1">
      <c r="B171" s="848"/>
      <c r="C171" s="760"/>
      <c r="D171" s="760"/>
      <c r="E171" s="1"/>
      <c r="F171" s="760"/>
      <c r="G171" s="760"/>
      <c r="H171" s="760"/>
      <c r="I171" s="760"/>
      <c r="J171" s="10"/>
      <c r="K171" s="6"/>
      <c r="L171" s="6"/>
      <c r="M171" s="8"/>
      <c r="N171" s="1087"/>
      <c r="O171" s="1131"/>
      <c r="P171" s="1131"/>
      <c r="Q171" s="1089"/>
      <c r="R171" s="198"/>
      <c r="S171" s="564"/>
      <c r="T171" s="8"/>
      <c r="U171" s="8"/>
      <c r="V171" s="8"/>
      <c r="W171" s="198"/>
      <c r="X171" s="564"/>
      <c r="Y171" s="8"/>
      <c r="Z171" s="8"/>
      <c r="AA171" s="8"/>
      <c r="AB171" s="198"/>
      <c r="AC171" s="564"/>
      <c r="AD171" s="8"/>
      <c r="AE171" s="8"/>
      <c r="AF171" s="8"/>
      <c r="AG171" s="198"/>
      <c r="AH171" s="889"/>
      <c r="AI171" s="8"/>
      <c r="AJ171" s="144"/>
      <c r="AK171" s="8"/>
      <c r="AL171" s="198"/>
      <c r="AM171" s="8"/>
      <c r="AN171" s="534"/>
      <c r="AO171" s="8"/>
      <c r="AP171" s="8"/>
      <c r="AQ171" s="144"/>
      <c r="AR171" s="8"/>
      <c r="AS171" s="497"/>
      <c r="AT171" s="8"/>
      <c r="AU171" s="8"/>
      <c r="AV171" s="8"/>
      <c r="AW171" s="8"/>
      <c r="AX171" s="8"/>
      <c r="AY171" s="8"/>
      <c r="AZ171" s="198"/>
      <c r="BA171" s="790"/>
      <c r="BB171" s="8"/>
      <c r="BC171" s="8"/>
      <c r="BD171" s="8"/>
      <c r="BE171" s="8"/>
      <c r="BF171" s="8"/>
      <c r="BG171" s="198"/>
      <c r="BH171" s="790"/>
      <c r="BJ171" s="25"/>
      <c r="BK171" s="50"/>
      <c r="BL171" s="25"/>
      <c r="BN171" s="25"/>
      <c r="BO171" s="50"/>
      <c r="BP171" s="25"/>
      <c r="BR171" s="25"/>
      <c r="BS171" s="50"/>
      <c r="BT171" s="25"/>
    </row>
    <row r="172" spans="1:74" ht="17.399999999999999">
      <c r="B172" s="848"/>
      <c r="C172" s="760"/>
      <c r="D172" s="64" t="s">
        <v>565</v>
      </c>
      <c r="E172" s="1"/>
      <c r="F172" s="11"/>
      <c r="G172" s="11"/>
      <c r="H172" s="11"/>
      <c r="I172" s="11"/>
      <c r="J172" s="26"/>
      <c r="K172" s="26"/>
      <c r="L172" s="14"/>
      <c r="M172" s="65">
        <f>M129+M111+M94+M79</f>
        <v>265570</v>
      </c>
      <c r="N172" s="1097"/>
      <c r="O172" s="1146"/>
      <c r="P172" s="1146">
        <f>P129+P111+P94+P79</f>
        <v>293514</v>
      </c>
      <c r="Q172" s="1089"/>
      <c r="R172" s="198"/>
      <c r="S172" s="564"/>
      <c r="T172" s="8"/>
      <c r="U172" s="8"/>
      <c r="V172" s="8"/>
      <c r="W172" s="198"/>
      <c r="X172" s="564"/>
      <c r="Y172" s="8"/>
      <c r="Z172" s="8"/>
      <c r="AA172" s="8"/>
      <c r="AB172" s="198"/>
      <c r="AC172" s="564"/>
      <c r="AD172" s="8"/>
      <c r="AE172" s="8"/>
      <c r="AF172" s="8"/>
      <c r="AG172" s="198"/>
      <c r="AH172" s="889"/>
      <c r="AI172" s="8"/>
      <c r="AJ172" s="144"/>
      <c r="AK172" s="8"/>
      <c r="AL172" s="198"/>
      <c r="AM172" s="8"/>
      <c r="AN172" s="534"/>
      <c r="AO172" s="8"/>
      <c r="AP172" s="8"/>
      <c r="AQ172" s="144"/>
      <c r="AR172" s="8"/>
      <c r="AS172" s="497"/>
      <c r="AT172" s="8"/>
      <c r="AU172" s="8"/>
      <c r="AV172" s="8"/>
      <c r="AW172" s="8"/>
      <c r="AX172" s="8"/>
      <c r="AY172" s="8"/>
      <c r="AZ172" s="198"/>
      <c r="BA172" s="790"/>
      <c r="BB172" s="8"/>
      <c r="BC172" s="8"/>
      <c r="BD172" s="8"/>
      <c r="BE172" s="8"/>
      <c r="BF172" s="8"/>
      <c r="BG172" s="198"/>
      <c r="BH172" s="790"/>
      <c r="BJ172" s="25"/>
      <c r="BK172" s="50"/>
      <c r="BL172" s="25"/>
      <c r="BN172" s="25"/>
      <c r="BO172" s="50"/>
      <c r="BP172" s="25"/>
      <c r="BR172" s="25"/>
      <c r="BS172" s="50"/>
      <c r="BT172" s="25"/>
    </row>
    <row r="173" spans="1:74" ht="13.8">
      <c r="Q173" s="1089"/>
      <c r="R173" s="206"/>
      <c r="W173" s="206"/>
      <c r="AB173" s="206"/>
      <c r="AG173" s="206"/>
      <c r="AH173" s="897"/>
      <c r="AL173" s="206"/>
      <c r="AN173" s="540"/>
      <c r="AQ173" s="87"/>
      <c r="AS173" s="502"/>
      <c r="AZ173" s="206"/>
      <c r="BA173" s="87"/>
      <c r="BG173" s="206"/>
      <c r="BH173" s="87"/>
    </row>
    <row r="174" spans="1:74" s="86" customFormat="1" ht="25.5" customHeight="1" thickBot="1">
      <c r="B174" s="858"/>
      <c r="C174" s="756"/>
      <c r="J174" s="751"/>
      <c r="K174" s="1181" t="s">
        <v>557</v>
      </c>
      <c r="L174" s="1181"/>
      <c r="M174" s="1181"/>
      <c r="N174" s="1084"/>
      <c r="O174" s="1184" t="s">
        <v>558</v>
      </c>
      <c r="P174" s="1184"/>
      <c r="Q174" s="1089"/>
      <c r="R174" s="217"/>
      <c r="S174" s="574"/>
      <c r="T174" s="159"/>
      <c r="U174" s="159"/>
      <c r="V174" s="159"/>
      <c r="W174" s="217"/>
      <c r="X174" s="159"/>
      <c r="Y174" s="159"/>
      <c r="Z174" s="159"/>
      <c r="AA174" s="159"/>
      <c r="AB174" s="217"/>
      <c r="AC174" s="159"/>
      <c r="AD174" s="159"/>
      <c r="AE174" s="159"/>
      <c r="AF174" s="159"/>
      <c r="AG174" s="217"/>
      <c r="AH174" s="910"/>
      <c r="AI174" s="159"/>
      <c r="AJ174" s="159"/>
      <c r="AK174" s="159"/>
      <c r="AL174" s="217"/>
      <c r="AM174" s="159"/>
      <c r="AN174" s="550"/>
      <c r="AO174" s="159"/>
      <c r="AP174" s="159"/>
      <c r="AQ174" s="159"/>
      <c r="AR174" s="159"/>
      <c r="AS174" s="509"/>
      <c r="AT174" s="159"/>
      <c r="AU174" s="586"/>
      <c r="AV174" s="586"/>
      <c r="AW174" s="159"/>
      <c r="AX174" s="159" t="s">
        <v>46</v>
      </c>
      <c r="AY174" s="159"/>
      <c r="AZ174" s="217"/>
      <c r="BA174" s="159" t="s">
        <v>41</v>
      </c>
      <c r="BB174" s="586"/>
      <c r="BC174" s="586"/>
      <c r="BD174" s="159"/>
      <c r="BE174" s="159" t="s">
        <v>46</v>
      </c>
      <c r="BF174" s="159"/>
      <c r="BG174" s="217"/>
      <c r="BH174" s="159" t="s">
        <v>41</v>
      </c>
      <c r="BJ174" s="1175"/>
      <c r="BK174" s="1175"/>
      <c r="BL174" s="1175"/>
      <c r="BN174" s="1175"/>
      <c r="BO174" s="1175"/>
      <c r="BP174" s="1175"/>
      <c r="BR174" s="1186" t="s">
        <v>2</v>
      </c>
      <c r="BS174" s="1186"/>
      <c r="BT174" s="1186"/>
    </row>
    <row r="175" spans="1:74" ht="15.75" customHeight="1" thickTop="1" thickBot="1">
      <c r="D175" s="1158"/>
      <c r="E175" s="1158"/>
      <c r="F175" s="1158"/>
      <c r="G175" s="1158"/>
      <c r="H175" s="63"/>
      <c r="I175" s="63"/>
      <c r="J175" s="25"/>
      <c r="K175" s="1185"/>
      <c r="L175" s="1185"/>
      <c r="M175" s="1185"/>
      <c r="N175" s="1085"/>
      <c r="O175" s="1187" t="s">
        <v>561</v>
      </c>
      <c r="P175" s="1187"/>
      <c r="Q175" s="1089"/>
      <c r="R175" s="195"/>
      <c r="S175" s="557"/>
      <c r="T175" s="158"/>
      <c r="U175" s="158"/>
      <c r="V175" s="158"/>
      <c r="W175" s="195"/>
      <c r="X175" s="158"/>
      <c r="Y175" s="158"/>
      <c r="Z175" s="158"/>
      <c r="AA175" s="158"/>
      <c r="AB175" s="195"/>
      <c r="AC175" s="158"/>
      <c r="AD175" s="158"/>
      <c r="AE175" s="158"/>
      <c r="AF175" s="158"/>
      <c r="AG175" s="195"/>
      <c r="AH175" s="902"/>
      <c r="AI175" s="158"/>
      <c r="AJ175" s="158"/>
      <c r="AK175" s="158"/>
      <c r="AL175" s="195"/>
      <c r="AM175" s="158"/>
      <c r="AN175" s="531"/>
      <c r="AO175" s="158"/>
      <c r="AP175" s="158"/>
      <c r="AQ175" s="158"/>
      <c r="AR175" s="158"/>
      <c r="AS175" s="507"/>
      <c r="AT175" s="158"/>
      <c r="AU175" s="582"/>
      <c r="AV175" s="582"/>
      <c r="AW175" s="158"/>
      <c r="AX175" s="222">
        <v>45432</v>
      </c>
      <c r="AY175" s="158"/>
      <c r="AZ175" s="195"/>
      <c r="BA175" s="158"/>
      <c r="BB175" s="582"/>
      <c r="BC175" s="582"/>
      <c r="BD175" s="158"/>
      <c r="BE175" s="222">
        <v>45432</v>
      </c>
      <c r="BF175" s="158"/>
      <c r="BG175" s="195"/>
      <c r="BH175" s="158"/>
      <c r="BJ175" s="1176"/>
      <c r="BK175" s="1176"/>
      <c r="BL175" s="1176"/>
      <c r="BN175" s="1176"/>
      <c r="BO175" s="1176"/>
      <c r="BP175" s="1176"/>
      <c r="BR175" s="1180" t="s">
        <v>0</v>
      </c>
      <c r="BS175" s="1180"/>
      <c r="BT175" s="1180"/>
    </row>
    <row r="176" spans="1:74" ht="18" customHeight="1" thickTop="1">
      <c r="D176" s="64" t="s">
        <v>26</v>
      </c>
      <c r="E176" s="1"/>
      <c r="F176" s="11"/>
      <c r="G176" s="11"/>
      <c r="H176" s="11"/>
      <c r="I176" s="11"/>
      <c r="J176" s="26"/>
      <c r="K176" s="14" t="s">
        <v>28</v>
      </c>
      <c r="L176" s="764">
        <v>1</v>
      </c>
      <c r="M176" s="65">
        <f>M6+M14+M56+M79+M94+M111+M129+M158</f>
        <v>1167610</v>
      </c>
      <c r="N176" s="1097"/>
      <c r="O176" s="1146"/>
      <c r="P176" s="1146">
        <f>P6+P14+P56+P79+P94+P111+P129+P158</f>
        <v>1195887</v>
      </c>
      <c r="Q176" s="1089"/>
      <c r="R176" s="218"/>
      <c r="S176" s="564"/>
      <c r="T176" s="65">
        <f>T6+T14+T56+T79+T94+T111+T129+T158</f>
        <v>1284371</v>
      </c>
      <c r="U176" s="65" t="s">
        <v>274</v>
      </c>
      <c r="V176" s="65"/>
      <c r="W176" s="218"/>
      <c r="X176" s="564"/>
      <c r="Y176" s="65">
        <f>Y6+Y14+Y56+Y79+Y94+Y111+Y129+Y158</f>
        <v>1485924.5</v>
      </c>
      <c r="Z176" s="65" t="s">
        <v>112</v>
      </c>
      <c r="AA176" s="65"/>
      <c r="AB176" s="218"/>
      <c r="AC176" s="564"/>
      <c r="AD176" s="65">
        <f>AD6+AD14+AD56+AD79+AD94+AD111+AD129+AD158</f>
        <v>1751415</v>
      </c>
      <c r="AE176" s="65" t="s">
        <v>53</v>
      </c>
      <c r="AF176" s="65"/>
      <c r="AG176" s="218"/>
      <c r="AH176" s="889">
        <f>AH6+AH14+AH56+AH79+AH94+AH111+AH129+AH158</f>
        <v>0.99999999999999989</v>
      </c>
      <c r="AI176" s="65"/>
      <c r="AJ176" s="189">
        <f>AJ6+AJ14+AJ56+AJ79+AJ94+AJ111+AJ129+AJ158</f>
        <v>1168000</v>
      </c>
      <c r="AK176" s="65"/>
      <c r="AL176" s="218"/>
      <c r="AM176" s="65"/>
      <c r="AN176" s="551"/>
      <c r="AO176" s="65" t="e">
        <f>AO6+AO14+AO56+AO79+AO94+AO111+AO129</f>
        <v>#REF!</v>
      </c>
      <c r="AP176" s="65"/>
      <c r="AQ176" s="65"/>
      <c r="AR176" s="65"/>
      <c r="AS176" s="497" t="e">
        <f>AO176-T176</f>
        <v>#REF!</v>
      </c>
      <c r="AT176" s="65"/>
      <c r="AU176" s="65"/>
      <c r="AV176" s="65"/>
      <c r="AW176" s="65"/>
      <c r="AX176" s="65">
        <f>AX6+AX14+AX56+AX79+AX94+AX111+AX129+AX158</f>
        <v>1469640</v>
      </c>
      <c r="AY176" s="65"/>
      <c r="AZ176" s="218"/>
      <c r="BA176" s="189">
        <f>M176-AX176</f>
        <v>-302030</v>
      </c>
      <c r="BB176" s="65"/>
      <c r="BC176" s="65"/>
      <c r="BD176" s="65"/>
      <c r="BE176" s="65">
        <f>BE6+BE14+BE56+BE79+BE94+BE111+BE129+BE158</f>
        <v>1592974</v>
      </c>
      <c r="BF176" s="65"/>
      <c r="BG176" s="218"/>
      <c r="BH176" s="189">
        <f>M176-BE176</f>
        <v>-425364</v>
      </c>
      <c r="BJ176" s="146"/>
      <c r="BK176" s="11"/>
      <c r="BL176" s="65"/>
      <c r="BN176" s="11"/>
      <c r="BO176" s="11"/>
      <c r="BP176" s="65"/>
      <c r="BR176" s="11"/>
      <c r="BS176" s="11"/>
      <c r="BT176" s="65">
        <f>BT6+BT14+BT56+BT79+BT94+BT111+BT129</f>
        <v>2327386</v>
      </c>
      <c r="BV176" s="85" t="s">
        <v>0</v>
      </c>
    </row>
    <row r="177" spans="4:72" ht="15.6">
      <c r="D177" s="79" t="s">
        <v>384</v>
      </c>
      <c r="E177" s="1"/>
      <c r="F177" s="79"/>
      <c r="G177" s="79"/>
      <c r="H177" s="79"/>
      <c r="I177" s="79"/>
      <c r="J177" s="26"/>
      <c r="K177" s="14" t="s">
        <v>28</v>
      </c>
      <c r="L177" s="764">
        <v>0.3</v>
      </c>
      <c r="M177" s="78">
        <f>L177*M176</f>
        <v>350283</v>
      </c>
      <c r="N177" s="1098"/>
      <c r="O177" s="1147"/>
      <c r="P177" s="1148">
        <f>L177*P176</f>
        <v>358766.1</v>
      </c>
      <c r="Q177" s="1089"/>
      <c r="R177" s="219"/>
      <c r="S177" s="562"/>
      <c r="T177" s="65"/>
      <c r="U177" s="65"/>
      <c r="V177" s="65"/>
      <c r="W177" s="218"/>
      <c r="X177" s="562"/>
      <c r="Y177" s="65"/>
      <c r="Z177" s="65"/>
      <c r="AA177" s="65"/>
      <c r="AB177" s="218"/>
      <c r="AC177" s="562"/>
      <c r="AD177" s="65"/>
      <c r="AE177" s="65"/>
      <c r="AF177" s="65"/>
      <c r="AG177" s="218"/>
      <c r="AH177" s="889"/>
      <c r="AI177" s="65"/>
      <c r="AJ177" s="189"/>
      <c r="AK177" s="65"/>
      <c r="AL177" s="218"/>
      <c r="AM177" s="78"/>
      <c r="AN177" s="552"/>
      <c r="AO177" s="78">
        <f>M177</f>
        <v>350283</v>
      </c>
      <c r="AP177" s="78"/>
      <c r="AQ177" s="78"/>
      <c r="AR177" s="78"/>
      <c r="AS177" s="501">
        <f>AO177-M177</f>
        <v>0</v>
      </c>
      <c r="AT177" s="78"/>
      <c r="AU177" s="78"/>
      <c r="AV177" s="78"/>
      <c r="AW177" s="78"/>
      <c r="AX177" s="78">
        <v>358186</v>
      </c>
      <c r="AY177" s="78"/>
      <c r="AZ177" s="219"/>
      <c r="BA177" s="190">
        <f>M177-AX177</f>
        <v>-7903</v>
      </c>
      <c r="BB177" s="78"/>
      <c r="BC177" s="78"/>
      <c r="BD177" s="78"/>
      <c r="BE177" s="78">
        <v>314316</v>
      </c>
      <c r="BF177" s="78"/>
      <c r="BG177" s="219"/>
      <c r="BH177" s="190">
        <f>M177-BE177</f>
        <v>35967</v>
      </c>
      <c r="BJ177" s="14"/>
      <c r="BK177" s="24"/>
      <c r="BL177" s="78"/>
      <c r="BN177" s="14"/>
      <c r="BO177" s="24"/>
      <c r="BP177" s="78"/>
      <c r="BR177" s="14" t="s">
        <v>28</v>
      </c>
      <c r="BS177" s="24">
        <v>0.25</v>
      </c>
      <c r="BT177" s="78">
        <f>BS177*BT176</f>
        <v>581846.5</v>
      </c>
    </row>
    <row r="178" spans="4:72" ht="15">
      <c r="D178" s="79" t="s">
        <v>27</v>
      </c>
      <c r="E178" s="1"/>
      <c r="F178" s="79"/>
      <c r="G178" s="79"/>
      <c r="H178" s="79"/>
      <c r="I178" s="79"/>
      <c r="J178" s="26"/>
      <c r="K178" s="14" t="s">
        <v>28</v>
      </c>
      <c r="L178" s="764">
        <v>0.2</v>
      </c>
      <c r="M178" s="78">
        <f>L178*M176</f>
        <v>233522</v>
      </c>
      <c r="N178" s="1098"/>
      <c r="O178" s="1149"/>
      <c r="P178" s="1148">
        <f>L178*P176</f>
        <v>239177.40000000002</v>
      </c>
      <c r="Q178" s="1089"/>
      <c r="R178" s="219"/>
      <c r="S178" s="562"/>
      <c r="T178" s="65"/>
      <c r="U178" s="65"/>
      <c r="V178" s="65"/>
      <c r="W178" s="218"/>
      <c r="X178" s="562"/>
      <c r="Y178" s="65"/>
      <c r="Z178" s="65"/>
      <c r="AA178" s="65"/>
      <c r="AB178" s="218"/>
      <c r="AC178" s="562"/>
      <c r="AD178" s="65"/>
      <c r="AE178" s="65"/>
      <c r="AF178" s="65"/>
      <c r="AG178" s="218"/>
      <c r="AH178" s="889"/>
      <c r="AI178" s="65"/>
      <c r="AJ178" s="189"/>
      <c r="AK178" s="65"/>
      <c r="AL178" s="218"/>
      <c r="AM178" s="78"/>
      <c r="AN178" s="552"/>
      <c r="AO178" s="78">
        <f>M178</f>
        <v>233522</v>
      </c>
      <c r="AP178" s="78"/>
      <c r="AQ178" s="78"/>
      <c r="AR178" s="78"/>
      <c r="AS178" s="501">
        <f>AO178-M178</f>
        <v>0</v>
      </c>
      <c r="AT178" s="78"/>
      <c r="AU178" s="78"/>
      <c r="AV178" s="78"/>
      <c r="AW178" s="78"/>
      <c r="AX178" s="78"/>
      <c r="AY178" s="78"/>
      <c r="AZ178" s="219"/>
      <c r="BA178" s="190"/>
      <c r="BB178" s="78"/>
      <c r="BC178" s="78"/>
      <c r="BD178" s="78"/>
      <c r="BE178" s="78"/>
      <c r="BF178" s="78"/>
      <c r="BG178" s="219"/>
      <c r="BH178" s="190"/>
      <c r="BJ178" s="14"/>
      <c r="BK178" s="24"/>
      <c r="BL178" s="78"/>
      <c r="BN178" s="14"/>
      <c r="BO178" s="24"/>
      <c r="BP178" s="78"/>
      <c r="BR178" s="14"/>
      <c r="BS178" s="24"/>
      <c r="BT178" s="78"/>
    </row>
    <row r="179" spans="4:72" ht="15">
      <c r="D179" s="80" t="s">
        <v>269</v>
      </c>
      <c r="E179" s="74"/>
      <c r="F179" s="80"/>
      <c r="G179" s="80"/>
      <c r="H179" s="80"/>
      <c r="I179" s="80"/>
      <c r="J179" s="26"/>
      <c r="K179" s="107" t="s">
        <v>28</v>
      </c>
      <c r="L179" s="1071">
        <v>0</v>
      </c>
      <c r="M179" s="76">
        <v>0</v>
      </c>
      <c r="N179" s="1099"/>
      <c r="O179" s="1150"/>
      <c r="P179" s="1151">
        <v>0</v>
      </c>
      <c r="Q179" s="1089"/>
      <c r="R179" s="219"/>
      <c r="S179" s="562"/>
      <c r="T179" s="65"/>
      <c r="U179" s="65"/>
      <c r="V179" s="65"/>
      <c r="W179" s="218"/>
      <c r="X179" s="562"/>
      <c r="Y179" s="65"/>
      <c r="Z179" s="65"/>
      <c r="AA179" s="65"/>
      <c r="AB179" s="218"/>
      <c r="AC179" s="562"/>
      <c r="AD179" s="65"/>
      <c r="AE179" s="65"/>
      <c r="AF179" s="65"/>
      <c r="AG179" s="218"/>
      <c r="AH179" s="889"/>
      <c r="AI179" s="65"/>
      <c r="AJ179" s="189"/>
      <c r="AK179" s="65"/>
      <c r="AL179" s="218"/>
      <c r="AM179" s="78"/>
      <c r="AN179" s="552"/>
      <c r="AO179" s="78"/>
      <c r="AP179" s="78"/>
      <c r="AQ179" s="78"/>
      <c r="AR179" s="78"/>
      <c r="AS179" s="501"/>
      <c r="AT179" s="78"/>
      <c r="AU179" s="78"/>
      <c r="AV179" s="78"/>
      <c r="AW179" s="78"/>
      <c r="AX179" s="78"/>
      <c r="AY179" s="78"/>
      <c r="AZ179" s="219"/>
      <c r="BA179" s="190"/>
      <c r="BB179" s="78"/>
      <c r="BC179" s="78"/>
      <c r="BD179" s="78"/>
      <c r="BE179" s="78"/>
      <c r="BF179" s="78"/>
      <c r="BG179" s="219"/>
      <c r="BH179" s="190"/>
      <c r="BJ179" s="14"/>
      <c r="BK179" s="24"/>
      <c r="BL179" s="78"/>
      <c r="BN179" s="14"/>
      <c r="BO179" s="24"/>
      <c r="BP179" s="78"/>
      <c r="BR179" s="14"/>
      <c r="BS179" s="24"/>
      <c r="BT179" s="78"/>
    </row>
    <row r="180" spans="4:72" ht="15">
      <c r="D180" s="79"/>
      <c r="E180" s="1"/>
      <c r="F180" s="79"/>
      <c r="G180" s="79"/>
      <c r="H180" s="79"/>
      <c r="I180" s="79"/>
      <c r="J180" s="26"/>
      <c r="K180" s="14"/>
      <c r="L180" s="764">
        <f>SUM(L176:L179)</f>
        <v>1.5</v>
      </c>
      <c r="M180" s="78">
        <f>SUM(M176:M179)</f>
        <v>1751415</v>
      </c>
      <c r="N180" s="1098"/>
      <c r="O180" s="1149"/>
      <c r="P180" s="1148">
        <f>SUM(P176:P179)</f>
        <v>1793830.5</v>
      </c>
      <c r="Q180" s="1098"/>
      <c r="R180" s="219"/>
      <c r="S180" s="562"/>
      <c r="T180" s="65"/>
      <c r="U180" s="65"/>
      <c r="V180" s="65"/>
      <c r="W180" s="218"/>
      <c r="X180" s="562"/>
      <c r="Y180" s="65"/>
      <c r="Z180" s="65"/>
      <c r="AA180" s="65"/>
      <c r="AB180" s="218"/>
      <c r="AC180" s="562"/>
      <c r="AD180" s="65"/>
      <c r="AE180" s="65"/>
      <c r="AF180" s="65"/>
      <c r="AG180" s="218"/>
      <c r="AH180" s="889"/>
      <c r="AI180" s="65"/>
      <c r="AJ180" s="189"/>
      <c r="AK180" s="65"/>
      <c r="AL180" s="218"/>
      <c r="AM180" s="78"/>
      <c r="AN180" s="552"/>
      <c r="AO180" s="78"/>
      <c r="AP180" s="78"/>
      <c r="AQ180" s="78"/>
      <c r="AR180" s="78"/>
      <c r="AS180" s="501"/>
      <c r="AT180" s="78"/>
      <c r="AU180" s="78"/>
      <c r="AV180" s="78"/>
      <c r="AW180" s="78"/>
      <c r="AX180" s="78"/>
      <c r="AY180" s="78"/>
      <c r="AZ180" s="219"/>
      <c r="BA180" s="190"/>
      <c r="BB180" s="78"/>
      <c r="BC180" s="78"/>
      <c r="BD180" s="78"/>
      <c r="BE180" s="78"/>
      <c r="BF180" s="78"/>
      <c r="BG180" s="219"/>
      <c r="BH180" s="190"/>
      <c r="BJ180" s="14"/>
      <c r="BK180" s="24"/>
      <c r="BL180" s="78"/>
      <c r="BN180" s="14"/>
      <c r="BO180" s="24"/>
      <c r="BP180" s="78"/>
      <c r="BR180" s="14"/>
      <c r="BS180" s="24"/>
      <c r="BT180" s="78"/>
    </row>
    <row r="181" spans="4:72" ht="15">
      <c r="D181" s="79"/>
      <c r="E181" s="1"/>
      <c r="F181" s="79"/>
      <c r="G181" s="79"/>
      <c r="H181" s="79" t="s">
        <v>0</v>
      </c>
      <c r="I181" s="767" t="s">
        <v>0</v>
      </c>
      <c r="J181" s="26"/>
      <c r="K181" s="14"/>
      <c r="L181" s="764"/>
      <c r="R181" s="219"/>
      <c r="S181" s="562"/>
      <c r="T181" s="65"/>
      <c r="U181" s="65"/>
      <c r="V181" s="65"/>
      <c r="W181" s="218"/>
      <c r="X181" s="562"/>
      <c r="Y181" s="65"/>
      <c r="Z181" s="65"/>
      <c r="AA181" s="65"/>
      <c r="AB181" s="218"/>
      <c r="AC181" s="562"/>
      <c r="AD181" s="65"/>
      <c r="AE181" s="65"/>
      <c r="AF181" s="65"/>
      <c r="AG181" s="218"/>
      <c r="AH181" s="889"/>
      <c r="AI181" s="65"/>
      <c r="AJ181" s="78">
        <f>AJ177+AJ176</f>
        <v>1168000</v>
      </c>
      <c r="AK181" s="65"/>
      <c r="AL181" s="218"/>
      <c r="AM181" s="78"/>
      <c r="AN181" s="552"/>
      <c r="AO181" s="78" t="e">
        <f>AO177+AO176</f>
        <v>#REF!</v>
      </c>
      <c r="AP181" s="78"/>
      <c r="AQ181" s="78"/>
      <c r="AR181" s="78"/>
      <c r="AS181" s="501" t="e">
        <f>AO181-M180</f>
        <v>#REF!</v>
      </c>
      <c r="AT181" s="78"/>
      <c r="AU181" s="78"/>
      <c r="AV181" s="78"/>
      <c r="AW181" s="78"/>
      <c r="AX181" s="78"/>
      <c r="AY181" s="78"/>
      <c r="AZ181" s="219"/>
      <c r="BA181" s="190"/>
      <c r="BB181" s="78"/>
      <c r="BC181" s="78"/>
      <c r="BD181" s="78"/>
      <c r="BE181" s="78"/>
      <c r="BF181" s="78"/>
      <c r="BG181" s="219"/>
      <c r="BH181" s="190"/>
      <c r="BJ181" s="14"/>
      <c r="BK181" s="24"/>
      <c r="BL181" s="78"/>
      <c r="BN181" s="14"/>
      <c r="BO181" s="24"/>
      <c r="BP181" s="78"/>
      <c r="BR181" s="14"/>
      <c r="BS181" s="24"/>
      <c r="BT181" s="78"/>
    </row>
    <row r="182" spans="4:72" ht="15">
      <c r="D182" s="80"/>
      <c r="E182" s="74"/>
      <c r="F182" s="80"/>
      <c r="G182" s="80"/>
      <c r="H182" s="80"/>
      <c r="I182" s="766"/>
      <c r="J182" s="26"/>
      <c r="K182" s="107"/>
      <c r="L182" s="1071"/>
      <c r="M182" s="76"/>
      <c r="N182" s="1099"/>
      <c r="O182" s="1150"/>
      <c r="P182" s="1150"/>
      <c r="Q182" s="1099"/>
      <c r="R182" s="219"/>
      <c r="S182" s="577"/>
      <c r="T182" s="76"/>
      <c r="U182" s="76"/>
      <c r="V182" s="78"/>
      <c r="W182" s="219"/>
      <c r="X182" s="577"/>
      <c r="Y182" s="76"/>
      <c r="Z182" s="76"/>
      <c r="AA182" s="78"/>
      <c r="AB182" s="219"/>
      <c r="AC182" s="577"/>
      <c r="AD182" s="76"/>
      <c r="AE182" s="76"/>
      <c r="AF182" s="78"/>
      <c r="AG182" s="219"/>
      <c r="AH182" s="893"/>
      <c r="AI182" s="78"/>
      <c r="AJ182" s="76"/>
      <c r="AK182" s="78"/>
      <c r="AL182" s="219"/>
      <c r="AM182" s="78"/>
      <c r="AN182" s="552"/>
      <c r="AO182" s="76"/>
      <c r="AP182" s="76"/>
      <c r="AQ182" s="76"/>
      <c r="AR182" s="76"/>
      <c r="AS182" s="821"/>
      <c r="AT182" s="78"/>
      <c r="AU182" s="78"/>
      <c r="AV182" s="78"/>
      <c r="AW182" s="78"/>
      <c r="AX182" s="76">
        <f>AX177+AX176</f>
        <v>1827826</v>
      </c>
      <c r="AY182" s="78"/>
      <c r="AZ182" s="219"/>
      <c r="BA182" s="191">
        <f>M182-AX182</f>
        <v>-1827826</v>
      </c>
      <c r="BB182" s="78"/>
      <c r="BC182" s="78"/>
      <c r="BD182" s="78"/>
      <c r="BE182" s="76">
        <f>BE177+BE176</f>
        <v>1907290</v>
      </c>
      <c r="BF182" s="78"/>
      <c r="BG182" s="219"/>
      <c r="BH182" s="191">
        <f>M182-BE182</f>
        <v>-1907290</v>
      </c>
      <c r="BJ182" s="1188" t="s">
        <v>51</v>
      </c>
      <c r="BK182" s="1189"/>
      <c r="BL182" s="78"/>
      <c r="BN182" s="11"/>
      <c r="BO182" s="11"/>
      <c r="BP182" s="78"/>
      <c r="BR182" s="75"/>
      <c r="BS182" s="75"/>
      <c r="BT182" s="76">
        <f>BT177+BT176</f>
        <v>2909232.5</v>
      </c>
    </row>
    <row r="183" spans="4:72" ht="17.399999999999999">
      <c r="D183" s="64" t="s">
        <v>29</v>
      </c>
      <c r="E183" s="1"/>
      <c r="F183" s="64"/>
      <c r="G183" s="64"/>
      <c r="H183" s="64"/>
      <c r="I183" s="64"/>
      <c r="J183" s="26"/>
      <c r="K183" s="14" t="s">
        <v>28</v>
      </c>
      <c r="L183" s="765">
        <v>1.5</v>
      </c>
      <c r="M183" s="1156">
        <f>M176*L183</f>
        <v>1751415</v>
      </c>
      <c r="N183" s="1100"/>
      <c r="O183" s="1152"/>
      <c r="P183" s="1152">
        <f>P176*L183</f>
        <v>1793830.5</v>
      </c>
      <c r="Q183" s="1100"/>
      <c r="R183" s="220"/>
      <c r="S183" s="575"/>
      <c r="T183" s="77">
        <f>SUM(T176:T182)</f>
        <v>1284371</v>
      </c>
      <c r="U183" s="77"/>
      <c r="V183" s="77"/>
      <c r="W183" s="220"/>
      <c r="X183" s="575"/>
      <c r="Y183" s="77">
        <f>SUM(Y176:Y182)</f>
        <v>1485924.5</v>
      </c>
      <c r="Z183" s="77"/>
      <c r="AA183" s="77"/>
      <c r="AB183" s="220"/>
      <c r="AC183" s="575"/>
      <c r="AD183" s="843">
        <f>SUM(AD176:AD182)</f>
        <v>1751415</v>
      </c>
      <c r="AE183" s="843" t="s">
        <v>53</v>
      </c>
      <c r="AF183" s="77"/>
      <c r="AG183" s="220"/>
      <c r="AH183" s="911"/>
      <c r="AI183" s="77"/>
      <c r="AJ183" s="843">
        <f>AJ176*L183</f>
        <v>1752000</v>
      </c>
      <c r="AK183" s="77"/>
      <c r="AL183" s="220"/>
      <c r="AM183" s="77"/>
      <c r="AN183" s="553"/>
      <c r="AO183" s="77"/>
      <c r="AP183" s="77"/>
      <c r="AQ183" s="77"/>
      <c r="AR183" s="77"/>
      <c r="AS183" s="510">
        <f>AO183-M183</f>
        <v>-1751415</v>
      </c>
      <c r="AT183" s="77"/>
      <c r="AU183" s="77"/>
      <c r="AV183" s="77"/>
      <c r="AW183" s="77"/>
      <c r="AX183" s="77">
        <f>AX182*BJ184</f>
        <v>2193391.1999999997</v>
      </c>
      <c r="AY183" s="77"/>
      <c r="AZ183" s="220"/>
      <c r="BA183" s="192">
        <f>M183-AX183</f>
        <v>-441976.19999999972</v>
      </c>
      <c r="BB183" s="77"/>
      <c r="BC183" s="77"/>
      <c r="BD183" s="77"/>
      <c r="BE183" s="77">
        <f>BE182*BJ183</f>
        <v>2491291.9786746646</v>
      </c>
      <c r="BF183" s="77"/>
      <c r="BG183" s="220"/>
      <c r="BH183" s="192">
        <f>M183-BE183</f>
        <v>-739876.97867466463</v>
      </c>
      <c r="BJ183" s="225">
        <v>1.30619464196565</v>
      </c>
      <c r="BK183" s="24" t="s">
        <v>28</v>
      </c>
      <c r="BL183" s="77"/>
      <c r="BN183" s="14"/>
      <c r="BO183" s="104"/>
      <c r="BP183" s="77"/>
      <c r="BR183" s="14" t="s">
        <v>28</v>
      </c>
      <c r="BS183" s="104">
        <v>1.5</v>
      </c>
      <c r="BT183" s="77">
        <f>BT176*BS183</f>
        <v>3491079</v>
      </c>
    </row>
    <row r="184" spans="4:72" ht="17.399999999999999">
      <c r="D184" s="64" t="s">
        <v>30</v>
      </c>
      <c r="E184" s="1"/>
      <c r="F184" s="64"/>
      <c r="G184" s="64"/>
      <c r="H184" s="64"/>
      <c r="I184" s="64"/>
      <c r="J184" s="26"/>
      <c r="K184" s="14"/>
      <c r="L184" s="104"/>
      <c r="M184" s="115" t="s">
        <v>31</v>
      </c>
      <c r="N184" s="1101"/>
      <c r="O184" s="1153"/>
      <c r="P184" s="1153"/>
      <c r="Q184" s="1101"/>
      <c r="R184" s="221"/>
      <c r="S184" s="576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15"/>
      <c r="AF184" s="115"/>
      <c r="AG184" s="115"/>
      <c r="AH184" s="912"/>
      <c r="AI184" s="115"/>
      <c r="AJ184" s="115" t="s">
        <v>31</v>
      </c>
      <c r="AK184" s="115"/>
      <c r="AL184" s="115"/>
      <c r="AM184" s="115"/>
      <c r="AN184" s="554"/>
      <c r="AO184" s="115"/>
      <c r="AP184" s="115"/>
      <c r="AQ184" s="115"/>
      <c r="AR184" s="115"/>
      <c r="AS184" s="511"/>
      <c r="AT184" s="115"/>
      <c r="AU184" s="115"/>
      <c r="AV184" s="115"/>
      <c r="AW184" s="115"/>
      <c r="AX184" s="115" t="s">
        <v>31</v>
      </c>
      <c r="AY184" s="115"/>
      <c r="AZ184" s="221"/>
      <c r="BA184" s="193"/>
      <c r="BB184" s="115"/>
      <c r="BC184" s="115"/>
      <c r="BD184" s="115"/>
      <c r="BE184" s="115" t="s">
        <v>31</v>
      </c>
      <c r="BF184" s="115"/>
      <c r="BG184" s="221"/>
      <c r="BH184" s="193"/>
      <c r="BJ184" s="14">
        <v>1.2</v>
      </c>
      <c r="BK184" s="104"/>
      <c r="BL184" s="115"/>
      <c r="BN184" s="14"/>
      <c r="BO184" s="104"/>
      <c r="BP184" s="115"/>
      <c r="BR184" s="14"/>
      <c r="BS184" s="104"/>
      <c r="BT184" s="77" t="s">
        <v>0</v>
      </c>
    </row>
    <row r="185" spans="4:72" ht="17.399999999999999">
      <c r="D185" s="64"/>
      <c r="E185" s="1"/>
      <c r="F185" s="64"/>
      <c r="G185" s="64"/>
      <c r="H185" s="64"/>
      <c r="I185" s="64"/>
      <c r="J185" s="26"/>
      <c r="K185" s="14"/>
      <c r="L185" s="104"/>
      <c r="M185" s="77"/>
      <c r="N185" s="1100"/>
      <c r="O185" s="1152"/>
      <c r="P185" s="1152"/>
      <c r="Q185" s="1100"/>
      <c r="R185" s="220"/>
      <c r="S185" s="575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911"/>
      <c r="AI185" s="77"/>
      <c r="AJ185" s="77"/>
      <c r="AK185" s="77"/>
      <c r="AL185" s="77"/>
      <c r="AM185" s="77"/>
      <c r="AN185" s="553"/>
      <c r="AO185" s="77"/>
      <c r="AP185" s="77"/>
      <c r="AQ185" s="77"/>
      <c r="AR185" s="77"/>
      <c r="AS185" s="510"/>
      <c r="AT185" s="77"/>
      <c r="AU185" s="77"/>
      <c r="AV185" s="77"/>
      <c r="AW185" s="77"/>
      <c r="AX185" s="77"/>
      <c r="AY185" s="77"/>
      <c r="AZ185" s="220"/>
      <c r="BA185" s="192"/>
      <c r="BB185" s="77"/>
      <c r="BC185" s="77"/>
      <c r="BD185" s="77"/>
      <c r="BE185" s="77"/>
      <c r="BF185" s="77"/>
      <c r="BG185" s="220"/>
      <c r="BH185" s="192"/>
      <c r="BJ185" s="14"/>
      <c r="BK185" s="104"/>
      <c r="BL185" s="77"/>
      <c r="BN185" s="14"/>
      <c r="BO185" s="104"/>
      <c r="BP185" s="77"/>
      <c r="BR185" s="14"/>
      <c r="BS185" s="104"/>
      <c r="BT185" s="77"/>
    </row>
    <row r="186" spans="4:72" ht="17.399999999999999">
      <c r="D186" s="79" t="s">
        <v>32</v>
      </c>
      <c r="E186" s="1"/>
      <c r="F186" s="64"/>
      <c r="G186" s="64"/>
      <c r="H186" s="64"/>
      <c r="I186" s="64"/>
      <c r="J186" s="26"/>
      <c r="K186" s="174">
        <v>568</v>
      </c>
      <c r="L186" s="24" t="s">
        <v>33</v>
      </c>
      <c r="M186" s="1156">
        <f>M183/K186</f>
        <v>3083.4771126760565</v>
      </c>
      <c r="N186" s="1100"/>
      <c r="O186" s="1152"/>
      <c r="P186" s="1152">
        <f>P183/K186</f>
        <v>3158.1522887323945</v>
      </c>
      <c r="Q186" s="1100"/>
      <c r="R186" s="220"/>
      <c r="S186" s="575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911"/>
      <c r="AI186" s="77"/>
      <c r="AJ186" s="843">
        <f>AJ183/K186</f>
        <v>3084.5070422535209</v>
      </c>
      <c r="AK186" s="77"/>
      <c r="AL186" s="77"/>
      <c r="AM186" s="77"/>
      <c r="AN186" s="553"/>
      <c r="AO186" s="77">
        <f>AO183/K186</f>
        <v>0</v>
      </c>
      <c r="AP186" s="77"/>
      <c r="AQ186" s="77"/>
      <c r="AR186" s="77"/>
      <c r="AS186" s="510">
        <f>AO186-M186</f>
        <v>-3083.4771126760565</v>
      </c>
      <c r="AT186" s="77"/>
      <c r="AU186" s="77"/>
      <c r="AV186" s="77"/>
      <c r="AW186" s="77"/>
      <c r="AX186" s="77">
        <f>AX183/BJ187</f>
        <v>3029.5458563535908</v>
      </c>
      <c r="AY186" s="77"/>
      <c r="AZ186" s="220"/>
      <c r="BA186" s="192">
        <f>M186-AX186</f>
        <v>53.931256322465742</v>
      </c>
      <c r="BB186" s="77"/>
      <c r="BC186" s="77"/>
      <c r="BD186" s="77"/>
      <c r="BE186" s="77">
        <f>BE183/BJ186</f>
        <v>2917.2037221014807</v>
      </c>
      <c r="BF186" s="77"/>
      <c r="BG186" s="220"/>
      <c r="BH186" s="192">
        <f>M186-BE186</f>
        <v>166.27339057457584</v>
      </c>
      <c r="BJ186" s="174">
        <v>854</v>
      </c>
      <c r="BK186" s="24" t="s">
        <v>33</v>
      </c>
      <c r="BL186" s="77"/>
      <c r="BN186" s="14"/>
      <c r="BO186" s="24"/>
      <c r="BP186" s="77"/>
      <c r="BR186" s="14">
        <f>BR55</f>
        <v>724</v>
      </c>
      <c r="BS186" s="24" t="s">
        <v>33</v>
      </c>
      <c r="BT186" s="77">
        <f>BT183/BR186</f>
        <v>4821.9323204419888</v>
      </c>
    </row>
    <row r="187" spans="4:72" ht="15">
      <c r="D187" s="79" t="s">
        <v>564</v>
      </c>
      <c r="E187" s="68"/>
      <c r="M187" s="1157">
        <f>M178/M183</f>
        <v>0.13333333333333333</v>
      </c>
      <c r="N187" s="1102"/>
      <c r="O187" s="1154"/>
      <c r="P187" s="1154"/>
      <c r="Q187" s="1102"/>
      <c r="R187" s="206"/>
      <c r="AH187" s="897"/>
      <c r="BJ187">
        <v>724</v>
      </c>
    </row>
    <row r="188" spans="4:72" ht="15">
      <c r="K188" s="68"/>
      <c r="M188" s="85"/>
      <c r="N188" s="1058"/>
      <c r="O188" s="1155"/>
      <c r="P188" s="1155"/>
      <c r="Q188" s="1058"/>
      <c r="R188" s="84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97"/>
      <c r="AI188" s="85"/>
      <c r="AJ188" s="758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  <c r="BD188" s="85"/>
      <c r="BE188" s="85"/>
      <c r="BF188" s="85"/>
      <c r="BG188" s="85"/>
      <c r="BH188" s="85"/>
      <c r="BJ188" s="68"/>
      <c r="BL188" s="85"/>
      <c r="BN188" s="68"/>
      <c r="BP188" s="85"/>
    </row>
    <row r="189" spans="4:72" ht="17.399999999999999">
      <c r="D189" s="64" t="s">
        <v>562</v>
      </c>
      <c r="E189" s="1"/>
      <c r="F189" s="64"/>
      <c r="G189" s="64"/>
      <c r="J189" s="1079"/>
      <c r="K189" s="68"/>
      <c r="M189" s="1100">
        <v>100000</v>
      </c>
      <c r="N189" s="1058"/>
      <c r="O189" s="1155"/>
      <c r="P189" s="1155"/>
      <c r="Q189" s="1058"/>
      <c r="R189" s="84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97"/>
      <c r="AI189" s="85"/>
      <c r="AJ189" s="758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  <c r="BD189" s="85"/>
      <c r="BE189" s="85"/>
      <c r="BF189" s="85"/>
      <c r="BG189" s="85"/>
      <c r="BH189" s="85"/>
      <c r="BJ189" s="68"/>
      <c r="BL189" s="85"/>
      <c r="BN189" s="68"/>
      <c r="BP189" s="85"/>
    </row>
    <row r="190" spans="4:72" ht="17.399999999999999">
      <c r="D190" s="64" t="s">
        <v>563</v>
      </c>
      <c r="E190" s="1"/>
      <c r="F190" s="64"/>
      <c r="G190" s="64"/>
      <c r="J190" s="1079"/>
      <c r="K190" s="68"/>
      <c r="M190" s="1100">
        <f>M183+M189</f>
        <v>1851415</v>
      </c>
      <c r="N190" s="1058"/>
      <c r="O190" s="1155"/>
      <c r="P190" s="1155"/>
      <c r="Q190" s="1058"/>
      <c r="R190" s="84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97"/>
      <c r="AI190" s="85"/>
      <c r="AJ190" s="758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  <c r="BD190" s="85"/>
      <c r="BE190" s="85"/>
      <c r="BF190" s="85"/>
      <c r="BG190" s="85"/>
      <c r="BH190" s="85"/>
      <c r="BJ190" s="68"/>
      <c r="BL190" s="85"/>
      <c r="BN190" s="68"/>
      <c r="BP190" s="85"/>
    </row>
    <row r="191" spans="4:72" ht="15">
      <c r="D191" s="79" t="s">
        <v>566</v>
      </c>
      <c r="E191" s="68"/>
      <c r="J191" s="1079"/>
      <c r="M191" s="1157">
        <f>(M178+M189)/M190</f>
        <v>0.18014437605831216</v>
      </c>
      <c r="N191" s="1102"/>
      <c r="O191" s="1154"/>
      <c r="P191" s="1154"/>
      <c r="Q191" s="1102"/>
      <c r="R191" s="206"/>
      <c r="AH191" s="897"/>
      <c r="AJ191" s="1079"/>
      <c r="BJ191">
        <v>724</v>
      </c>
    </row>
    <row r="192" spans="4:72" ht="15">
      <c r="J192" s="1079"/>
      <c r="K192" s="68"/>
      <c r="M192" s="85"/>
      <c r="N192" s="1058"/>
      <c r="O192" s="1155"/>
      <c r="P192" s="1155"/>
      <c r="Q192" s="1058"/>
      <c r="R192" s="84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97"/>
      <c r="AI192" s="85"/>
      <c r="AJ192" s="758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  <c r="BD192" s="85"/>
      <c r="BE192" s="85"/>
      <c r="BF192" s="85"/>
      <c r="BG192" s="85"/>
      <c r="BH192" s="85"/>
      <c r="BJ192" s="68"/>
      <c r="BL192" s="85"/>
      <c r="BN192" s="68"/>
      <c r="BP192" s="85"/>
    </row>
    <row r="193" spans="11:74" ht="15">
      <c r="K193" s="68"/>
      <c r="M193" s="85"/>
      <c r="N193" s="1058"/>
      <c r="O193" s="1155"/>
      <c r="P193" s="1155"/>
      <c r="Q193" s="1058"/>
      <c r="R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758"/>
      <c r="AI193" s="85"/>
      <c r="AJ193" s="758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 s="85"/>
      <c r="BH193" s="85"/>
      <c r="BK193" s="66"/>
      <c r="BL193" s="85"/>
      <c r="BM193" s="137"/>
      <c r="BV193" s="116"/>
    </row>
    <row r="194" spans="11:74" ht="15">
      <c r="K194" s="68"/>
      <c r="M194" s="85"/>
      <c r="N194" s="1058"/>
      <c r="O194" s="1155"/>
      <c r="P194" s="1155"/>
      <c r="Q194" s="1058"/>
      <c r="R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758"/>
      <c r="AI194" s="85"/>
      <c r="AJ194" s="758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  <c r="BD194" s="85"/>
      <c r="BE194" s="85"/>
      <c r="BF194" s="85"/>
      <c r="BG194" s="85"/>
      <c r="BH194" s="85"/>
      <c r="BK194" s="66"/>
      <c r="BL194" s="85"/>
      <c r="BM194" s="137"/>
    </row>
    <row r="195" spans="11:74" ht="15">
      <c r="K195" s="68"/>
      <c r="M195" s="85"/>
      <c r="N195" s="1058"/>
      <c r="O195" s="1155"/>
      <c r="P195" s="1155"/>
      <c r="Q195" s="1058"/>
      <c r="R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758"/>
      <c r="AI195" s="85"/>
      <c r="AJ195" s="758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  <c r="BD195" s="85"/>
      <c r="BE195" s="85"/>
      <c r="BF195" s="85"/>
      <c r="BG195" s="85"/>
      <c r="BH195" s="85"/>
      <c r="BK195" s="66"/>
      <c r="BL195" s="85"/>
      <c r="BM195" s="137"/>
    </row>
    <row r="196" spans="11:74" ht="15">
      <c r="K196" s="68"/>
      <c r="M196" s="85"/>
      <c r="N196" s="1058"/>
      <c r="O196" s="1155"/>
      <c r="P196" s="1155"/>
      <c r="Q196" s="1058"/>
      <c r="R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758"/>
      <c r="AI196" s="85"/>
      <c r="AJ196" s="758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J196" s="85"/>
      <c r="BK196" s="118"/>
      <c r="BL196" s="121"/>
    </row>
    <row r="197" spans="11:74" ht="15">
      <c r="K197" s="68"/>
      <c r="M197" s="85"/>
      <c r="N197" s="1058"/>
      <c r="O197" s="1155"/>
      <c r="P197" s="1155"/>
      <c r="Q197" s="1058"/>
      <c r="R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758"/>
      <c r="AI197" s="85"/>
      <c r="AJ197" s="758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  <c r="BD197" s="85"/>
      <c r="BE197" s="85"/>
      <c r="BF197" s="85"/>
      <c r="BG197" s="85"/>
      <c r="BH197" s="85"/>
    </row>
    <row r="198" spans="11:74" ht="15">
      <c r="K198" s="68"/>
      <c r="M198" s="85"/>
      <c r="N198" s="1058"/>
      <c r="O198" s="1155"/>
      <c r="P198" s="1155"/>
      <c r="Q198" s="1058"/>
      <c r="R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758"/>
      <c r="AI198" s="85"/>
      <c r="AJ198" s="758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  <c r="BD198" s="85"/>
      <c r="BE198" s="85"/>
      <c r="BF198" s="85"/>
      <c r="BG198" s="85"/>
      <c r="BH198" s="85"/>
      <c r="BJ198" s="85"/>
      <c r="BK198" s="66"/>
      <c r="BL198" s="120"/>
    </row>
    <row r="199" spans="11:74" ht="15">
      <c r="K199" s="68"/>
      <c r="M199" s="85"/>
      <c r="N199" s="1058"/>
      <c r="O199" s="1155"/>
      <c r="P199" s="1155"/>
      <c r="Q199" s="1058"/>
      <c r="R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758"/>
      <c r="AI199" s="85"/>
      <c r="AJ199" s="758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  <c r="BD199" s="85"/>
      <c r="BE199" s="85"/>
      <c r="BF199" s="85"/>
      <c r="BG199" s="85"/>
      <c r="BH199" s="85"/>
      <c r="BJ199" s="85"/>
      <c r="BK199" s="66"/>
      <c r="BL199" s="120"/>
    </row>
    <row r="200" spans="11:74" ht="15">
      <c r="K200" s="68"/>
      <c r="M200" s="85"/>
      <c r="N200" s="1058"/>
      <c r="O200" s="1155"/>
      <c r="P200" s="1155"/>
      <c r="Q200" s="1058"/>
      <c r="R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758"/>
      <c r="AI200" s="85"/>
      <c r="AJ200" s="758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  <c r="BD200" s="85"/>
      <c r="BE200" s="85"/>
      <c r="BF200" s="85"/>
      <c r="BG200" s="85"/>
      <c r="BH200" s="85"/>
      <c r="BL200" s="85"/>
    </row>
    <row r="201" spans="11:74" ht="15">
      <c r="K201" s="68"/>
      <c r="M201" s="85"/>
      <c r="N201" s="1058"/>
      <c r="O201" s="1155"/>
      <c r="P201" s="1155"/>
      <c r="Q201" s="1058"/>
      <c r="R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758"/>
      <c r="AI201" s="85"/>
      <c r="AJ201" s="758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  <c r="BD201" s="85"/>
      <c r="BE201" s="85"/>
      <c r="BF201" s="85"/>
      <c r="BG201" s="85"/>
      <c r="BH201" s="85"/>
    </row>
    <row r="202" spans="11:74" ht="15">
      <c r="K202" s="68"/>
      <c r="M202" s="85"/>
      <c r="N202" s="1058"/>
      <c r="O202" s="1155"/>
      <c r="P202" s="1155"/>
      <c r="Q202" s="1058"/>
      <c r="R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758"/>
      <c r="AI202" s="85"/>
      <c r="AJ202" s="758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  <c r="BD202" s="85"/>
      <c r="BE202" s="85"/>
      <c r="BF202" s="85"/>
      <c r="BG202" s="85"/>
      <c r="BH202" s="85"/>
      <c r="BJ202" s="138"/>
      <c r="BK202" s="138"/>
      <c r="BL202" s="138"/>
    </row>
    <row r="203" spans="11:74" ht="15">
      <c r="K203" s="68"/>
      <c r="M203" s="85"/>
      <c r="N203" s="1058"/>
      <c r="O203" s="1155"/>
      <c r="P203" s="1155"/>
      <c r="Q203" s="1058"/>
      <c r="R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758"/>
      <c r="AI203" s="85"/>
      <c r="AJ203" s="758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  <c r="BD203" s="85"/>
      <c r="BE203" s="85"/>
      <c r="BF203" s="85"/>
      <c r="BG203" s="85"/>
      <c r="BH203" s="85"/>
      <c r="BL203" s="85"/>
    </row>
    <row r="204" spans="11:74" ht="15">
      <c r="K204" s="68"/>
      <c r="M204" s="85"/>
      <c r="N204" s="1058"/>
      <c r="O204" s="1155"/>
      <c r="P204" s="1155"/>
      <c r="Q204" s="1058"/>
      <c r="R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758"/>
      <c r="AI204" s="85"/>
      <c r="AJ204" s="758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  <c r="BD204" s="85"/>
      <c r="BE204" s="85"/>
      <c r="BF204" s="85"/>
      <c r="BG204" s="85"/>
      <c r="BH204" s="85"/>
    </row>
    <row r="205" spans="11:74" ht="15">
      <c r="K205" s="68"/>
      <c r="M205" s="85"/>
      <c r="N205" s="1058"/>
      <c r="O205" s="1155"/>
      <c r="P205" s="1155"/>
      <c r="Q205" s="1058"/>
      <c r="R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758"/>
      <c r="AI205" s="85"/>
      <c r="AJ205" s="758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  <c r="BD205" s="85"/>
      <c r="BE205" s="85"/>
      <c r="BF205" s="85"/>
      <c r="BG205" s="85"/>
      <c r="BH205" s="85"/>
    </row>
    <row r="206" spans="11:74" ht="15">
      <c r="K206" s="68"/>
      <c r="M206" s="85"/>
      <c r="N206" s="1058"/>
      <c r="O206" s="1155"/>
      <c r="P206" s="1155"/>
      <c r="Q206" s="1058"/>
      <c r="R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758"/>
      <c r="AI206" s="85"/>
      <c r="AJ206" s="758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  <c r="BD206" s="85"/>
      <c r="BE206" s="85"/>
      <c r="BF206" s="85"/>
      <c r="BG206" s="85"/>
      <c r="BH206" s="85"/>
    </row>
    <row r="207" spans="11:74" ht="15">
      <c r="K207" s="68"/>
      <c r="M207" s="85"/>
      <c r="N207" s="1058"/>
      <c r="O207" s="1155"/>
      <c r="P207" s="1155"/>
      <c r="Q207" s="1058"/>
      <c r="R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758"/>
      <c r="AI207" s="85"/>
      <c r="AJ207" s="758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  <c r="BD207" s="85"/>
      <c r="BE207" s="85"/>
      <c r="BF207" s="85"/>
      <c r="BG207" s="85"/>
      <c r="BH207" s="85"/>
    </row>
    <row r="208" spans="11:74" ht="15">
      <c r="K208" s="68"/>
      <c r="M208" s="85"/>
      <c r="N208" s="1058"/>
      <c r="O208" s="1155"/>
      <c r="P208" s="1155"/>
      <c r="Q208" s="1058"/>
      <c r="R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758"/>
      <c r="AI208" s="85"/>
      <c r="AJ208" s="758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</row>
    <row r="209" spans="11:60" ht="15">
      <c r="K209" s="68"/>
      <c r="M209" s="85"/>
      <c r="N209" s="1058"/>
      <c r="O209" s="1155"/>
      <c r="P209" s="1155"/>
      <c r="Q209" s="1058"/>
      <c r="R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758"/>
      <c r="AI209" s="85"/>
      <c r="AJ209" s="758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  <c r="BD209" s="85"/>
      <c r="BE209" s="85"/>
      <c r="BF209" s="85"/>
      <c r="BG209" s="85"/>
      <c r="BH209" s="85"/>
    </row>
    <row r="210" spans="11:60" ht="15">
      <c r="K210" s="68"/>
      <c r="M210" s="85"/>
      <c r="N210" s="1058"/>
      <c r="O210" s="1155"/>
      <c r="P210" s="1155"/>
      <c r="Q210" s="1058"/>
      <c r="R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758"/>
      <c r="AI210" s="85"/>
      <c r="AJ210" s="758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  <c r="BD210" s="85"/>
      <c r="BE210" s="85"/>
      <c r="BF210" s="85"/>
      <c r="BG210" s="85"/>
      <c r="BH210" s="85"/>
    </row>
  </sheetData>
  <mergeCells count="45">
    <mergeCell ref="BJ182:BK182"/>
    <mergeCell ref="S5:U5"/>
    <mergeCell ref="BJ1:BL1"/>
    <mergeCell ref="BJ3:BL3"/>
    <mergeCell ref="BJ4:BL4"/>
    <mergeCell ref="BJ75:BL75"/>
    <mergeCell ref="BJ76:BL76"/>
    <mergeCell ref="X5:Z5"/>
    <mergeCell ref="AC5:AE5"/>
    <mergeCell ref="S77:U77"/>
    <mergeCell ref="X77:Z77"/>
    <mergeCell ref="AC77:AE77"/>
    <mergeCell ref="K175:M175"/>
    <mergeCell ref="BN175:BP175"/>
    <mergeCell ref="BR175:BT175"/>
    <mergeCell ref="BJ175:BL175"/>
    <mergeCell ref="K174:M174"/>
    <mergeCell ref="BR174:BT174"/>
    <mergeCell ref="O174:P174"/>
    <mergeCell ref="O175:P175"/>
    <mergeCell ref="BR75:BT75"/>
    <mergeCell ref="BR76:BT76"/>
    <mergeCell ref="BN174:BP174"/>
    <mergeCell ref="BJ174:BL174"/>
    <mergeCell ref="K3:M3"/>
    <mergeCell ref="K4:M4"/>
    <mergeCell ref="K75:M75"/>
    <mergeCell ref="K76:M76"/>
    <mergeCell ref="BR3:BT3"/>
    <mergeCell ref="BR4:BT4"/>
    <mergeCell ref="O4:P4"/>
    <mergeCell ref="O3:P3"/>
    <mergeCell ref="O75:P75"/>
    <mergeCell ref="O76:P76"/>
    <mergeCell ref="H3:I3"/>
    <mergeCell ref="H16:H18"/>
    <mergeCell ref="I16:I18"/>
    <mergeCell ref="H4:I4"/>
    <mergeCell ref="H66:H67"/>
    <mergeCell ref="I66:I67"/>
    <mergeCell ref="BN1:BP1"/>
    <mergeCell ref="BN3:BP3"/>
    <mergeCell ref="BN4:BP4"/>
    <mergeCell ref="BN75:BP75"/>
    <mergeCell ref="BN76:BP76"/>
  </mergeCells>
  <conditionalFormatting sqref="A95:A98 A125:A127 A112:A115 A117:A123">
    <cfRule type="cellIs" dxfId="3" priority="1" stopIfTrue="1" operator="equal">
      <formula>"F4C756"</formula>
    </cfRule>
  </conditionalFormatting>
  <conditionalFormatting sqref="A100:A103">
    <cfRule type="cellIs" dxfId="2" priority="3" stopIfTrue="1" operator="equal">
      <formula>"F4C756"</formula>
    </cfRule>
  </conditionalFormatting>
  <conditionalFormatting sqref="A105:A109">
    <cfRule type="cellIs" dxfId="1" priority="2" stopIfTrue="1" operator="equal">
      <formula>"F4C756"</formula>
    </cfRule>
  </conditionalFormatting>
  <conditionalFormatting sqref="A125:A127">
    <cfRule type="cellIs" dxfId="0" priority="4" stopIfTrue="1" operator="equal">
      <formula>"F4C756"</formula>
    </cfRule>
  </conditionalFormatting>
  <pageMargins left="0.25" right="0.25" top="0.75" bottom="0.75" header="0.3" footer="0.3"/>
  <pageSetup scale="44" orientation="portrait" r:id="rId1"/>
  <rowBreaks count="1" manualBreakCount="1">
    <brk id="74" max="17" man="1"/>
  </rowBreaks>
  <colBreaks count="1" manualBreakCount="1">
    <brk id="17" max="183" man="1"/>
  </colBreaks>
  <ignoredErrors>
    <ignoredError sqref="B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5E3D6-E648-4E06-91BA-DCFC8EA5A20B}">
  <dimension ref="A2:AB78"/>
  <sheetViews>
    <sheetView zoomScale="85" zoomScaleNormal="85" workbookViewId="0">
      <selection activeCell="L74" sqref="L74"/>
    </sheetView>
  </sheetViews>
  <sheetFormatPr defaultRowHeight="13.2"/>
  <cols>
    <col min="1" max="1" width="45.44140625" customWidth="1"/>
    <col min="2" max="2" width="13.44140625" style="1026" customWidth="1"/>
    <col min="3" max="3" width="10.33203125" style="1028" bestFit="1" customWidth="1"/>
    <col min="4" max="4" width="8.88671875" style="1026"/>
    <col min="5" max="5" width="16" customWidth="1"/>
    <col min="6" max="6" width="9.88671875" style="1028" customWidth="1"/>
    <col min="8" max="8" width="12.33203125" customWidth="1"/>
    <col min="9" max="9" width="2.6640625" style="1057" customWidth="1"/>
    <col min="10" max="10" width="33.33203125" customWidth="1"/>
    <col min="11" max="11" width="10.33203125" bestFit="1" customWidth="1"/>
    <col min="12" max="12" width="2.6640625" style="1057" customWidth="1"/>
    <col min="13" max="15" width="10.109375" style="1029" customWidth="1"/>
    <col min="16" max="16" width="2.6640625" style="1057" customWidth="1"/>
    <col min="17" max="19" width="10.109375" customWidth="1"/>
  </cols>
  <sheetData>
    <row r="2" spans="1:19">
      <c r="A2" s="66" t="s">
        <v>484</v>
      </c>
    </row>
    <row r="3" spans="1:19">
      <c r="A3" s="66"/>
    </row>
    <row r="4" spans="1:19">
      <c r="A4" s="66"/>
      <c r="F4" s="1030"/>
    </row>
    <row r="5" spans="1:19" s="86" customFormat="1" ht="26.4">
      <c r="A5" s="1031" t="s">
        <v>485</v>
      </c>
      <c r="B5" s="1032" t="s">
        <v>486</v>
      </c>
      <c r="C5" s="1033" t="s">
        <v>487</v>
      </c>
      <c r="D5" s="1034" t="s">
        <v>488</v>
      </c>
      <c r="E5" s="1032" t="s">
        <v>489</v>
      </c>
      <c r="F5" s="1033" t="s">
        <v>146</v>
      </c>
      <c r="G5" s="1034" t="s">
        <v>488</v>
      </c>
      <c r="H5" s="1076" t="s">
        <v>542</v>
      </c>
      <c r="I5" s="1061"/>
      <c r="J5" s="1031" t="s">
        <v>490</v>
      </c>
      <c r="K5" s="1035" t="s">
        <v>146</v>
      </c>
      <c r="L5" s="1061"/>
      <c r="M5" s="1193" t="s">
        <v>536</v>
      </c>
      <c r="N5" s="1193"/>
      <c r="O5" s="1193"/>
      <c r="P5" s="1061"/>
      <c r="Q5" s="1193" t="s">
        <v>537</v>
      </c>
      <c r="R5" s="1193"/>
      <c r="S5" s="1193"/>
    </row>
    <row r="6" spans="1:19">
      <c r="M6" s="1068" t="s">
        <v>164</v>
      </c>
      <c r="N6" s="1068" t="s">
        <v>165</v>
      </c>
      <c r="O6" s="1068" t="s">
        <v>453</v>
      </c>
      <c r="Q6" s="1068" t="s">
        <v>164</v>
      </c>
      <c r="R6" s="1068" t="s">
        <v>165</v>
      </c>
      <c r="S6" s="1068" t="s">
        <v>453</v>
      </c>
    </row>
    <row r="7" spans="1:19">
      <c r="B7" s="1027"/>
      <c r="D7" s="1027"/>
      <c r="M7" s="1068"/>
      <c r="N7" s="1068"/>
      <c r="O7" s="1068"/>
      <c r="Q7" s="1068"/>
      <c r="R7" s="1068"/>
      <c r="S7" s="1068"/>
    </row>
    <row r="8" spans="1:19">
      <c r="A8" s="1036" t="s">
        <v>491</v>
      </c>
      <c r="B8" s="1037"/>
      <c r="C8" s="1038">
        <f>SUM(C9:C15)</f>
        <v>74149</v>
      </c>
      <c r="D8" s="1039">
        <f>C8/C$8</f>
        <v>1</v>
      </c>
      <c r="E8" s="67"/>
      <c r="F8" s="1038">
        <f>'Hospital Program TARGET_DESIGN'!M15</f>
        <v>101600</v>
      </c>
      <c r="G8" s="1039">
        <f t="shared" ref="G8:G14" si="0">F8/F$8</f>
        <v>1</v>
      </c>
      <c r="H8" s="1077">
        <f>F8*1.1</f>
        <v>111760.00000000001</v>
      </c>
      <c r="J8" s="1036" t="s">
        <v>491</v>
      </c>
      <c r="K8" s="1040">
        <f>SUM(K9:K12)</f>
        <v>56443.226476419099</v>
      </c>
      <c r="M8" s="1072"/>
      <c r="N8" s="1072"/>
      <c r="O8" s="1073">
        <f>K8</f>
        <v>56443.226476419099</v>
      </c>
      <c r="Q8" s="1072"/>
      <c r="R8" s="1072"/>
      <c r="S8" s="1073">
        <f>O8*1.1</f>
        <v>62087.549124061014</v>
      </c>
    </row>
    <row r="9" spans="1:19">
      <c r="A9" s="66" t="s">
        <v>492</v>
      </c>
      <c r="C9" s="1028">
        <v>2990</v>
      </c>
      <c r="D9" s="1042">
        <f t="shared" ref="D9:D14" si="1">C9/C$8</f>
        <v>4.0324212059501811E-2</v>
      </c>
      <c r="F9" s="1043">
        <f>F$8*D9</f>
        <v>4096.9399452453845</v>
      </c>
      <c r="G9" s="1042">
        <f t="shared" si="0"/>
        <v>4.0324212059501818E-2</v>
      </c>
      <c r="J9" s="66" t="s">
        <v>493</v>
      </c>
      <c r="K9" s="1029" t="s">
        <v>531</v>
      </c>
      <c r="M9" s="1072"/>
      <c r="N9" s="1072"/>
      <c r="O9" s="1072"/>
      <c r="Q9" s="1072"/>
      <c r="R9" s="1072"/>
      <c r="S9" s="1072"/>
    </row>
    <row r="10" spans="1:19">
      <c r="A10" s="66" t="s">
        <v>494</v>
      </c>
      <c r="B10" s="1044">
        <v>27</v>
      </c>
      <c r="C10" s="1028">
        <v>25385</v>
      </c>
      <c r="D10" s="1042">
        <f t="shared" si="1"/>
        <v>0.34235121174931554</v>
      </c>
      <c r="E10" s="118">
        <f>'[1]Hospital Program Comparison'!P14</f>
        <v>23</v>
      </c>
      <c r="F10" s="1043">
        <f t="shared" ref="F10:F14" si="2">F$8*D10</f>
        <v>34782.883113730459</v>
      </c>
      <c r="G10" s="1042">
        <f t="shared" si="0"/>
        <v>0.34235121174931554</v>
      </c>
      <c r="J10" s="66" t="s">
        <v>495</v>
      </c>
      <c r="K10" s="85">
        <f>F10+F12+F13</f>
        <v>56443.226476419099</v>
      </c>
      <c r="M10" s="1072"/>
      <c r="N10" s="1072"/>
      <c r="O10" s="1072"/>
      <c r="Q10" s="1072"/>
      <c r="R10" s="1072"/>
      <c r="S10" s="1072"/>
    </row>
    <row r="11" spans="1:19">
      <c r="A11" s="66" t="s">
        <v>496</v>
      </c>
      <c r="B11" s="1026">
        <v>82</v>
      </c>
      <c r="C11" s="1028">
        <v>20120</v>
      </c>
      <c r="D11" s="1042">
        <f t="shared" si="1"/>
        <v>0.27134553399236672</v>
      </c>
      <c r="F11" s="1043">
        <f t="shared" si="2"/>
        <v>27568.706253624459</v>
      </c>
      <c r="G11" s="1042">
        <f t="shared" si="0"/>
        <v>0.27134553399236672</v>
      </c>
      <c r="J11" s="66" t="s">
        <v>497</v>
      </c>
      <c r="K11" s="1029" t="s">
        <v>531</v>
      </c>
      <c r="M11" s="1072"/>
      <c r="N11" s="1072"/>
      <c r="O11" s="1072"/>
      <c r="Q11" s="1072"/>
      <c r="R11" s="1072"/>
      <c r="S11" s="1072"/>
    </row>
    <row r="12" spans="1:19">
      <c r="A12" s="66" t="s">
        <v>498</v>
      </c>
      <c r="C12" s="1028">
        <v>14348</v>
      </c>
      <c r="D12" s="1042">
        <f t="shared" si="1"/>
        <v>0.19350227245141538</v>
      </c>
      <c r="F12" s="1043">
        <f t="shared" si="2"/>
        <v>19659.830881063801</v>
      </c>
      <c r="G12" s="1042">
        <f t="shared" si="0"/>
        <v>0.19350227245141535</v>
      </c>
      <c r="J12" s="66" t="s">
        <v>513</v>
      </c>
      <c r="K12" s="1029" t="s">
        <v>531</v>
      </c>
      <c r="M12" s="1072"/>
      <c r="N12" s="1072"/>
      <c r="O12" s="1072"/>
      <c r="Q12" s="1072"/>
      <c r="R12" s="1072"/>
      <c r="S12" s="1072"/>
    </row>
    <row r="13" spans="1:19">
      <c r="A13" s="66" t="s">
        <v>499</v>
      </c>
      <c r="C13" s="1028">
        <f>840+620</f>
        <v>1460</v>
      </c>
      <c r="D13" s="1042">
        <f t="shared" si="1"/>
        <v>1.9690083480559416E-2</v>
      </c>
      <c r="F13" s="1043">
        <f t="shared" si="2"/>
        <v>2000.5124816248367</v>
      </c>
      <c r="G13" s="1042">
        <f t="shared" si="0"/>
        <v>1.9690083480559416E-2</v>
      </c>
      <c r="M13" s="1072"/>
      <c r="N13" s="1072"/>
      <c r="O13" s="1072"/>
      <c r="Q13" s="1072"/>
      <c r="R13" s="1072"/>
      <c r="S13" s="1072"/>
    </row>
    <row r="14" spans="1:19">
      <c r="A14" s="66" t="s">
        <v>500</v>
      </c>
      <c r="C14" s="1028">
        <v>9846</v>
      </c>
      <c r="D14" s="1042">
        <f t="shared" si="1"/>
        <v>0.13278668626684109</v>
      </c>
      <c r="F14" s="1028">
        <f t="shared" si="2"/>
        <v>13491.127324711055</v>
      </c>
      <c r="G14" s="1042">
        <f t="shared" si="0"/>
        <v>0.13278668626684109</v>
      </c>
      <c r="M14" s="1072"/>
      <c r="N14" s="1072"/>
      <c r="O14" s="1073"/>
      <c r="Q14" s="1072"/>
      <c r="R14" s="1072"/>
      <c r="S14" s="1073"/>
    </row>
    <row r="15" spans="1:19">
      <c r="M15" s="1072"/>
      <c r="N15" s="1072"/>
      <c r="O15" s="1072"/>
      <c r="Q15" s="1072"/>
      <c r="R15" s="1072"/>
      <c r="S15" s="1072"/>
    </row>
    <row r="16" spans="1:19">
      <c r="M16" s="1072"/>
      <c r="N16" s="1072"/>
      <c r="O16" s="1072"/>
      <c r="Q16" s="1072"/>
      <c r="R16" s="1072"/>
      <c r="S16" s="1072"/>
    </row>
    <row r="17" spans="1:19">
      <c r="A17" s="1036" t="s">
        <v>501</v>
      </c>
      <c r="B17" s="1037"/>
      <c r="C17" s="1038">
        <v>21490</v>
      </c>
      <c r="D17" s="1039">
        <f>C17/C$17</f>
        <v>1</v>
      </c>
      <c r="E17" s="67"/>
      <c r="F17" s="1038">
        <f>'Hospital Program TARGET_DESIGN'!M20</f>
        <v>29600</v>
      </c>
      <c r="G17" s="1039">
        <f>F17/F$17</f>
        <v>1</v>
      </c>
      <c r="H17" s="1077">
        <f>F17*1.1</f>
        <v>32560.000000000004</v>
      </c>
      <c r="J17" s="1036" t="s">
        <v>501</v>
      </c>
      <c r="K17" s="1046">
        <f>SUM(K18:K19)</f>
        <v>28029.781293624939</v>
      </c>
      <c r="M17" s="1074"/>
      <c r="N17" s="1074">
        <f>K17</f>
        <v>28029.781293624939</v>
      </c>
      <c r="O17" s="1073"/>
      <c r="Q17" s="1074"/>
      <c r="R17" s="1074">
        <f>N17*1.1</f>
        <v>30832.759422987434</v>
      </c>
      <c r="S17" s="1073"/>
    </row>
    <row r="18" spans="1:19">
      <c r="A18" s="66" t="s">
        <v>492</v>
      </c>
      <c r="C18" s="1047">
        <v>1140</v>
      </c>
      <c r="D18" s="1042">
        <f>C18/C$17</f>
        <v>5.3047929269427641E-2</v>
      </c>
      <c r="F18" s="1028">
        <f>F$17*D18</f>
        <v>1570.2187063750582</v>
      </c>
      <c r="G18" s="1042">
        <f>F18/F$17</f>
        <v>5.3047929269427641E-2</v>
      </c>
      <c r="J18" s="66" t="s">
        <v>493</v>
      </c>
      <c r="K18" s="1029" t="s">
        <v>531</v>
      </c>
      <c r="M18" s="1072"/>
      <c r="N18" s="1072"/>
      <c r="O18" s="1072"/>
      <c r="Q18" s="1072"/>
      <c r="R18" s="1072"/>
      <c r="S18" s="1072"/>
    </row>
    <row r="19" spans="1:19">
      <c r="A19" s="66" t="s">
        <v>501</v>
      </c>
      <c r="B19" s="1048" t="s">
        <v>0</v>
      </c>
      <c r="C19" s="1049">
        <f>C17-C18</f>
        <v>20350</v>
      </c>
      <c r="D19" s="1042">
        <f>C19/C$17</f>
        <v>0.9469520707305723</v>
      </c>
      <c r="F19" s="1028">
        <f>F$17*D19</f>
        <v>28029.781293624939</v>
      </c>
      <c r="G19" s="1042">
        <f>F19/F$17</f>
        <v>0.9469520707305723</v>
      </c>
      <c r="J19" s="66" t="s">
        <v>501</v>
      </c>
      <c r="K19" s="85">
        <f>F19</f>
        <v>28029.781293624939</v>
      </c>
      <c r="M19" s="1072"/>
      <c r="N19" s="1072"/>
      <c r="O19" s="1072"/>
      <c r="Q19" s="1072"/>
      <c r="R19" s="1072"/>
      <c r="S19" s="1072"/>
    </row>
    <row r="20" spans="1:19">
      <c r="G20" s="1026"/>
      <c r="M20" s="1072"/>
      <c r="N20" s="1072"/>
      <c r="O20" s="1072"/>
      <c r="Q20" s="1072"/>
      <c r="R20" s="1072"/>
      <c r="S20" s="1072"/>
    </row>
    <row r="21" spans="1:19">
      <c r="G21" s="1026"/>
      <c r="Q21" s="1029"/>
      <c r="R21" s="1029"/>
      <c r="S21" s="1029"/>
    </row>
    <row r="22" spans="1:19">
      <c r="A22" s="1036" t="s">
        <v>502</v>
      </c>
      <c r="B22" s="1037"/>
      <c r="C22" s="1038">
        <v>8810</v>
      </c>
      <c r="D22" s="1039">
        <f>C22/C$22</f>
        <v>1</v>
      </c>
      <c r="E22" s="67"/>
      <c r="F22" s="1038">
        <f>'Hospital Program TARGET_DESIGN'!M36</f>
        <v>13800</v>
      </c>
      <c r="G22" s="1039">
        <f>F22/F$22</f>
        <v>1</v>
      </c>
      <c r="H22" s="1077">
        <f>F22*1.1</f>
        <v>15180.000000000002</v>
      </c>
      <c r="J22" s="1036" t="s">
        <v>503</v>
      </c>
      <c r="K22" s="1040">
        <f>SUM(K23:K25)</f>
        <v>6962.6560726447215</v>
      </c>
      <c r="O22" s="1041">
        <f>K22</f>
        <v>6962.6560726447215</v>
      </c>
      <c r="Q22" s="1029"/>
      <c r="R22" s="1029"/>
      <c r="S22" s="1041">
        <f>O22*1.1</f>
        <v>7658.9216799091946</v>
      </c>
    </row>
    <row r="23" spans="1:19">
      <c r="A23" s="66" t="s">
        <v>492</v>
      </c>
      <c r="C23" s="1047">
        <v>580</v>
      </c>
      <c r="D23" s="1042">
        <f>C23/C$22</f>
        <v>6.5834279228149828E-2</v>
      </c>
      <c r="F23" s="1028">
        <f>F$22*D23</f>
        <v>908.51305334846768</v>
      </c>
      <c r="G23" s="1042">
        <f>F23/F$22</f>
        <v>6.5834279228149828E-2</v>
      </c>
      <c r="J23" s="66" t="s">
        <v>493</v>
      </c>
      <c r="K23" s="1029" t="s">
        <v>531</v>
      </c>
      <c r="Q23" s="1029"/>
      <c r="R23" s="1029"/>
      <c r="S23" s="1029"/>
    </row>
    <row r="24" spans="1:19">
      <c r="A24" s="66" t="s">
        <v>504</v>
      </c>
      <c r="B24" s="1044">
        <v>6</v>
      </c>
      <c r="C24" s="1049">
        <f>C22-C23-C25-C26</f>
        <v>4445</v>
      </c>
      <c r="D24" s="1042">
        <f>C24/C$22</f>
        <v>0.50454029511918275</v>
      </c>
      <c r="E24" s="118">
        <v>6</v>
      </c>
      <c r="F24" s="1028">
        <f>F$22*D24</f>
        <v>6962.6560726447215</v>
      </c>
      <c r="G24" s="1042">
        <f>F24/F$22</f>
        <v>0.50454029511918275</v>
      </c>
      <c r="J24" s="66" t="s">
        <v>504</v>
      </c>
      <c r="K24" s="85">
        <f>F24</f>
        <v>6962.6560726447215</v>
      </c>
      <c r="Q24" s="1029"/>
      <c r="R24" s="1029"/>
      <c r="S24" s="1029"/>
    </row>
    <row r="25" spans="1:19">
      <c r="A25" s="66" t="s">
        <v>505</v>
      </c>
      <c r="B25" s="1026">
        <v>18</v>
      </c>
      <c r="C25" s="1028">
        <v>3425</v>
      </c>
      <c r="D25" s="1042">
        <f>C25/C$22</f>
        <v>0.3887627695800227</v>
      </c>
      <c r="E25" s="66" t="s">
        <v>0</v>
      </c>
      <c r="F25" s="1028">
        <f>F$22*D25</f>
        <v>5364.9262202043137</v>
      </c>
      <c r="G25" s="1042">
        <f>F25/F$22</f>
        <v>0.38876276958002276</v>
      </c>
      <c r="J25" s="66" t="s">
        <v>497</v>
      </c>
      <c r="K25" s="1029" t="s">
        <v>531</v>
      </c>
      <c r="Q25" s="1029"/>
      <c r="R25" s="1029"/>
      <c r="S25" s="1029"/>
    </row>
    <row r="26" spans="1:19">
      <c r="A26" s="66" t="s">
        <v>506</v>
      </c>
      <c r="C26" s="1028">
        <v>360</v>
      </c>
      <c r="D26" s="1042">
        <f>C26/C$22</f>
        <v>4.0862656072644721E-2</v>
      </c>
      <c r="F26" s="1028">
        <f>F$22*D26</f>
        <v>563.90465380249714</v>
      </c>
      <c r="G26" s="1042">
        <f>F26/F$22</f>
        <v>4.0862656072644721E-2</v>
      </c>
      <c r="J26" s="66" t="s">
        <v>513</v>
      </c>
      <c r="K26" s="1029" t="s">
        <v>531</v>
      </c>
      <c r="Q26" s="1029"/>
      <c r="R26" s="1029"/>
      <c r="S26" s="1029"/>
    </row>
    <row r="27" spans="1:19">
      <c r="G27" s="1026"/>
      <c r="O27" s="1041"/>
      <c r="Q27" s="1029"/>
      <c r="R27" s="1029"/>
      <c r="S27" s="1041"/>
    </row>
    <row r="28" spans="1:19">
      <c r="Q28" s="1029"/>
      <c r="R28" s="1029"/>
      <c r="S28" s="1029"/>
    </row>
    <row r="29" spans="1:19">
      <c r="A29" s="1036" t="s">
        <v>507</v>
      </c>
      <c r="B29" s="1037"/>
      <c r="C29" s="1038">
        <f>SUM(C30:C36)</f>
        <v>26815</v>
      </c>
      <c r="D29" s="1039">
        <f>C29/C$29</f>
        <v>1</v>
      </c>
      <c r="E29" s="67"/>
      <c r="F29" s="1038">
        <f>'Hospital Program TARGET_DESIGN'!M29+'Hospital Program TARGET_DESIGN'!M32+'Hospital Program TARGET_DESIGN'!M33</f>
        <v>43800</v>
      </c>
      <c r="G29" s="1039">
        <f t="shared" ref="G29:G35" si="3">F29/F$29</f>
        <v>1</v>
      </c>
      <c r="H29" s="1077">
        <f>(F29+F38)*1.1</f>
        <v>83160</v>
      </c>
      <c r="J29" s="1036" t="s">
        <v>508</v>
      </c>
      <c r="K29" s="1040">
        <f>SUM(K30:K32)</f>
        <v>42872.08367439171</v>
      </c>
      <c r="M29" s="1041"/>
      <c r="N29" s="1041">
        <f>K29</f>
        <v>42872.08367439171</v>
      </c>
      <c r="Q29" s="1041"/>
      <c r="R29" s="1041">
        <f>N29*1.1</f>
        <v>47159.292041830886</v>
      </c>
      <c r="S29" s="1029"/>
    </row>
    <row r="30" spans="1:19">
      <c r="A30" s="66" t="s">
        <v>492</v>
      </c>
      <c r="C30" s="1028">
        <v>1540</v>
      </c>
      <c r="D30" s="1042">
        <f>C30/C$29</f>
        <v>5.743054260674995E-2</v>
      </c>
      <c r="F30" s="1028">
        <f>F$29*D30</f>
        <v>2515.457766175648</v>
      </c>
      <c r="G30" s="1042">
        <f t="shared" si="3"/>
        <v>5.7430542606749957E-2</v>
      </c>
      <c r="J30" s="66" t="s">
        <v>493</v>
      </c>
      <c r="K30" s="1029" t="s">
        <v>531</v>
      </c>
      <c r="Q30" s="1029"/>
      <c r="R30" s="1029"/>
      <c r="S30" s="1029"/>
    </row>
    <row r="31" spans="1:19">
      <c r="A31" s="66" t="s">
        <v>509</v>
      </c>
      <c r="B31" s="1044">
        <v>9</v>
      </c>
      <c r="C31" s="1028">
        <v>10805</v>
      </c>
      <c r="D31" s="1042">
        <f t="shared" ref="D31:D35" si="4">C31/C$29</f>
        <v>0.402946112250606</v>
      </c>
      <c r="E31" s="118">
        <v>8</v>
      </c>
      <c r="F31" s="1028">
        <f t="shared" ref="F31:F35" si="5">F$29*D31</f>
        <v>17649.039716576543</v>
      </c>
      <c r="G31" s="1042">
        <f t="shared" si="3"/>
        <v>0.402946112250606</v>
      </c>
      <c r="J31" s="66" t="s">
        <v>510</v>
      </c>
      <c r="K31" s="85">
        <f>F31+F34+F40+F42+F33</f>
        <v>42872.08367439171</v>
      </c>
      <c r="Q31" s="1029"/>
      <c r="R31" s="1029"/>
      <c r="S31" s="1029"/>
    </row>
    <row r="32" spans="1:19">
      <c r="A32" s="66" t="s">
        <v>496</v>
      </c>
      <c r="B32" s="1026">
        <v>28</v>
      </c>
      <c r="C32" s="1028">
        <v>8235</v>
      </c>
      <c r="D32" s="1042">
        <f t="shared" si="4"/>
        <v>0.30710423270557524</v>
      </c>
      <c r="F32" s="1028">
        <f t="shared" si="5"/>
        <v>13451.165392504196</v>
      </c>
      <c r="G32" s="1042">
        <f t="shared" si="3"/>
        <v>0.30710423270557524</v>
      </c>
      <c r="J32" s="66" t="s">
        <v>497</v>
      </c>
      <c r="K32" s="1029" t="s">
        <v>531</v>
      </c>
      <c r="Q32" s="1029"/>
      <c r="R32" s="1029"/>
      <c r="S32" s="1029"/>
    </row>
    <row r="33" spans="1:28">
      <c r="A33" s="66" t="s">
        <v>511</v>
      </c>
      <c r="B33" s="1048" t="s">
        <v>0</v>
      </c>
      <c r="C33" s="1028">
        <v>820</v>
      </c>
      <c r="D33" s="1042">
        <f t="shared" si="4"/>
        <v>3.0579899310087637E-2</v>
      </c>
      <c r="F33" s="1028">
        <f t="shared" si="5"/>
        <v>1339.3995897818386</v>
      </c>
      <c r="G33" s="1042">
        <f t="shared" si="3"/>
        <v>3.057989931008764E-2</v>
      </c>
      <c r="J33" s="66" t="s">
        <v>513</v>
      </c>
      <c r="K33" s="1029" t="s">
        <v>531</v>
      </c>
      <c r="Q33" s="1029"/>
      <c r="R33" s="1029"/>
      <c r="S33" s="1029"/>
    </row>
    <row r="34" spans="1:28">
      <c r="A34" s="66" t="s">
        <v>512</v>
      </c>
      <c r="C34" s="1028">
        <v>3325</v>
      </c>
      <c r="D34" s="1042">
        <f t="shared" si="4"/>
        <v>0.12399776244639195</v>
      </c>
      <c r="F34" s="1028">
        <f t="shared" si="5"/>
        <v>5431.1019951519675</v>
      </c>
      <c r="G34" s="1042">
        <f t="shared" si="3"/>
        <v>0.12399776244639195</v>
      </c>
      <c r="Q34" s="1029"/>
      <c r="R34" s="1029"/>
      <c r="S34" s="1029"/>
    </row>
    <row r="35" spans="1:28">
      <c r="A35" s="66" t="s">
        <v>513</v>
      </c>
      <c r="C35" s="1028">
        <v>2090</v>
      </c>
      <c r="D35" s="1042">
        <f t="shared" si="4"/>
        <v>7.7941450680589219E-2</v>
      </c>
      <c r="F35" s="1028">
        <f t="shared" si="5"/>
        <v>3413.8355398098079</v>
      </c>
      <c r="G35" s="1042">
        <f t="shared" si="3"/>
        <v>7.7941450680589219E-2</v>
      </c>
      <c r="Q35" s="1029"/>
      <c r="R35" s="1029"/>
      <c r="S35" s="1029"/>
      <c r="AB35" s="66" t="s">
        <v>545</v>
      </c>
    </row>
    <row r="36" spans="1:28">
      <c r="G36" s="1026"/>
      <c r="J36" s="1036" t="s">
        <v>538</v>
      </c>
      <c r="K36" s="1040">
        <f>SUM(K37:K39)</f>
        <v>55684.79786633297</v>
      </c>
      <c r="N36" s="1041">
        <f>K39</f>
        <v>22751.165392504197</v>
      </c>
      <c r="O36" s="1041">
        <f>K37+K38</f>
        <v>32933.632473828773</v>
      </c>
      <c r="Q36" s="1029"/>
      <c r="R36" s="1041">
        <f>N36*1.1</f>
        <v>25026.28193175462</v>
      </c>
      <c r="S36" s="1041">
        <f>O36*1.1</f>
        <v>36226.995721211657</v>
      </c>
    </row>
    <row r="37" spans="1:28">
      <c r="G37" s="1026"/>
      <c r="J37" s="66" t="s">
        <v>539</v>
      </c>
      <c r="K37" s="85">
        <f>F11</f>
        <v>27568.706253624459</v>
      </c>
      <c r="Q37" s="1029"/>
      <c r="R37" s="1029"/>
      <c r="S37" s="1029"/>
    </row>
    <row r="38" spans="1:28">
      <c r="A38" s="1036" t="s">
        <v>514</v>
      </c>
      <c r="B38" s="1037"/>
      <c r="C38" s="1038">
        <f>SUM(C39:C43)</f>
        <v>31270</v>
      </c>
      <c r="D38" s="1039">
        <f>C38/C$38</f>
        <v>1</v>
      </c>
      <c r="E38" s="67"/>
      <c r="F38" s="1038">
        <f>'Hospital Program TARGET_DESIGN'!M30+'Hospital Program TARGET_DESIGN'!M32</f>
        <v>31800</v>
      </c>
      <c r="G38" s="1039">
        <f t="shared" ref="G38:G43" si="6">F38/F$38</f>
        <v>1</v>
      </c>
      <c r="H38" s="1068" t="s">
        <v>543</v>
      </c>
      <c r="J38" s="66" t="s">
        <v>540</v>
      </c>
      <c r="K38" s="85">
        <f>F25</f>
        <v>5364.9262202043137</v>
      </c>
      <c r="Q38" s="1029"/>
      <c r="R38" s="1029"/>
      <c r="S38" s="1029"/>
    </row>
    <row r="39" spans="1:28" ht="14.4" customHeight="1">
      <c r="A39" s="66" t="s">
        <v>492</v>
      </c>
      <c r="C39" s="1028">
        <v>1665</v>
      </c>
      <c r="D39" s="1042">
        <f>C39/C$38</f>
        <v>5.32459226095299E-2</v>
      </c>
      <c r="F39" s="1028">
        <f>F$38*D39</f>
        <v>1693.2203389830509</v>
      </c>
      <c r="G39" s="1042">
        <f t="shared" si="6"/>
        <v>5.32459226095299E-2</v>
      </c>
      <c r="J39" s="66" t="s">
        <v>541</v>
      </c>
      <c r="K39" s="85">
        <f>F32+F41</f>
        <v>22751.165392504197</v>
      </c>
      <c r="Q39" s="1029"/>
      <c r="R39" s="1029"/>
      <c r="S39" s="1029"/>
    </row>
    <row r="40" spans="1:28">
      <c r="A40" s="66" t="s">
        <v>517</v>
      </c>
      <c r="B40" s="1044">
        <v>11</v>
      </c>
      <c r="C40" s="1028">
        <v>12760</v>
      </c>
      <c r="D40" s="1042">
        <f t="shared" ref="D40:D43" si="7">C40/C$38</f>
        <v>0.40805884234090184</v>
      </c>
      <c r="E40" s="118">
        <v>6</v>
      </c>
      <c r="F40" s="1028">
        <f t="shared" ref="F40:F43" si="8">F$38*D40</f>
        <v>12976.271186440679</v>
      </c>
      <c r="G40" s="1042">
        <f t="shared" si="6"/>
        <v>0.40805884234090184</v>
      </c>
      <c r="Q40" s="1029"/>
      <c r="R40" s="1029"/>
      <c r="S40" s="1029"/>
    </row>
    <row r="41" spans="1:28">
      <c r="A41" s="66" t="s">
        <v>496</v>
      </c>
      <c r="B41" s="1026">
        <v>30</v>
      </c>
      <c r="C41" s="1028">
        <v>9145</v>
      </c>
      <c r="D41" s="1042">
        <f t="shared" si="7"/>
        <v>0.29245283018867924</v>
      </c>
      <c r="F41" s="1028">
        <f t="shared" si="8"/>
        <v>9300</v>
      </c>
      <c r="G41" s="1042">
        <f t="shared" si="6"/>
        <v>0.29245283018867924</v>
      </c>
      <c r="Q41" s="1029"/>
      <c r="R41" s="1029"/>
      <c r="S41" s="1029"/>
    </row>
    <row r="42" spans="1:28">
      <c r="A42" s="66" t="s">
        <v>519</v>
      </c>
      <c r="C42" s="1028">
        <v>5385</v>
      </c>
      <c r="D42" s="1042">
        <f t="shared" si="7"/>
        <v>0.17220978573712825</v>
      </c>
      <c r="F42" s="1028">
        <f t="shared" si="8"/>
        <v>5476.2711864406783</v>
      </c>
      <c r="G42" s="1042">
        <f t="shared" si="6"/>
        <v>0.17220978573712825</v>
      </c>
      <c r="Q42" s="1029"/>
      <c r="R42" s="1029"/>
      <c r="S42" s="1029"/>
    </row>
    <row r="43" spans="1:28">
      <c r="A43" s="66" t="s">
        <v>513</v>
      </c>
      <c r="C43" s="1028">
        <v>2315</v>
      </c>
      <c r="D43" s="1042">
        <f t="shared" si="7"/>
        <v>7.4032619123760787E-2</v>
      </c>
      <c r="F43" s="1028">
        <f t="shared" si="8"/>
        <v>2354.2372881355932</v>
      </c>
      <c r="G43" s="1042">
        <f t="shared" si="6"/>
        <v>7.4032619123760787E-2</v>
      </c>
      <c r="Q43" s="1029"/>
      <c r="R43" s="1029"/>
      <c r="S43" s="1029"/>
    </row>
    <row r="44" spans="1:28">
      <c r="A44" s="66"/>
      <c r="D44" s="1042"/>
      <c r="G44" s="1042"/>
      <c r="Q44" s="1029"/>
      <c r="R44" s="1029"/>
      <c r="S44" s="1029"/>
    </row>
    <row r="45" spans="1:28">
      <c r="A45" s="1036" t="s">
        <v>288</v>
      </c>
      <c r="B45" s="1037"/>
      <c r="C45" s="1053"/>
      <c r="D45" s="1056"/>
      <c r="E45" s="67"/>
      <c r="F45" s="1038">
        <f>F46</f>
        <v>5200</v>
      </c>
      <c r="G45" s="1039">
        <f>G46</f>
        <v>1</v>
      </c>
      <c r="H45" s="1077">
        <f>F45*1.1</f>
        <v>5720.0000000000009</v>
      </c>
      <c r="J45" s="1036" t="s">
        <v>288</v>
      </c>
      <c r="K45" s="1038">
        <f>K46</f>
        <v>5200</v>
      </c>
      <c r="M45" s="1045"/>
      <c r="N45" s="1041">
        <f>K45</f>
        <v>5200</v>
      </c>
      <c r="Q45" s="1045"/>
      <c r="R45" s="1041">
        <f>N45*1.1</f>
        <v>5720.0000000000009</v>
      </c>
      <c r="S45" s="1029"/>
    </row>
    <row r="46" spans="1:28">
      <c r="A46" s="66" t="s">
        <v>524</v>
      </c>
      <c r="D46" s="1042"/>
      <c r="E46">
        <v>10</v>
      </c>
      <c r="F46" s="1028">
        <f>'Hospital Program TARGET_DESIGN'!M49</f>
        <v>5200</v>
      </c>
      <c r="G46" s="1042">
        <f>F46/F45</f>
        <v>1</v>
      </c>
      <c r="J46" s="66" t="s">
        <v>525</v>
      </c>
      <c r="K46" s="85">
        <f>F46</f>
        <v>5200</v>
      </c>
      <c r="Q46" s="1029"/>
      <c r="R46" s="1029"/>
      <c r="S46" s="1029"/>
    </row>
    <row r="47" spans="1:28">
      <c r="A47" s="66"/>
      <c r="D47" s="1042"/>
      <c r="G47" s="1042"/>
      <c r="Q47" s="1029"/>
      <c r="R47" s="1029"/>
      <c r="S47" s="1029"/>
    </row>
    <row r="48" spans="1:28">
      <c r="G48" s="1042"/>
      <c r="Q48" s="1029"/>
      <c r="R48" s="1029"/>
      <c r="S48" s="1029"/>
    </row>
    <row r="49" spans="1:19">
      <c r="A49" s="66"/>
      <c r="B49" s="1027"/>
      <c r="D49" s="1042"/>
      <c r="F49" s="1049" t="s">
        <v>146</v>
      </c>
      <c r="G49" s="1078"/>
      <c r="H49" s="1068" t="s">
        <v>544</v>
      </c>
      <c r="J49" s="1036" t="s">
        <v>515</v>
      </c>
      <c r="K49" s="1040">
        <f>SUM(K50:K52)</f>
        <v>19823.104806458956</v>
      </c>
      <c r="M49" s="1070">
        <f>K49*0.8</f>
        <v>15858.483845167166</v>
      </c>
      <c r="N49" s="1041">
        <f>K49*0.1</f>
        <v>1982.3104806458957</v>
      </c>
      <c r="O49" s="1041">
        <f>K49*0.1</f>
        <v>1982.3104806458957</v>
      </c>
      <c r="Q49" s="1070">
        <f>M49*1.1</f>
        <v>17444.332229683885</v>
      </c>
      <c r="R49" s="1041">
        <f>N49*1.1</f>
        <v>2180.5415287104856</v>
      </c>
      <c r="S49" s="1041">
        <f>O49*1.1</f>
        <v>2180.5415287104856</v>
      </c>
    </row>
    <row r="50" spans="1:19">
      <c r="A50" s="66"/>
      <c r="B50" s="1027"/>
      <c r="D50" s="1042"/>
      <c r="E50" s="1068" t="s">
        <v>165</v>
      </c>
      <c r="F50" s="1030">
        <f>F17+F29+F38+F45</f>
        <v>110400</v>
      </c>
      <c r="G50" s="1042"/>
      <c r="H50" s="1030">
        <f>H17+H29+H45</f>
        <v>121440</v>
      </c>
      <c r="J50" s="66" t="s">
        <v>516</v>
      </c>
      <c r="K50" s="85">
        <f>F14</f>
        <v>13491.127324711055</v>
      </c>
      <c r="Q50" s="1029"/>
      <c r="R50" s="1029"/>
      <c r="S50" s="1029"/>
    </row>
    <row r="51" spans="1:19">
      <c r="A51" s="66"/>
      <c r="B51" s="1027"/>
      <c r="D51" s="1042"/>
      <c r="E51" s="1068" t="s">
        <v>453</v>
      </c>
      <c r="F51" s="1030">
        <f>F22+F8</f>
        <v>115400</v>
      </c>
      <c r="G51" s="1042"/>
      <c r="H51" s="1030">
        <f>H22+H8</f>
        <v>126940.00000000001</v>
      </c>
      <c r="J51" s="66" t="s">
        <v>518</v>
      </c>
      <c r="K51" s="85">
        <f>F26</f>
        <v>563.90465380249714</v>
      </c>
      <c r="Q51" s="1029"/>
      <c r="R51" s="1029"/>
      <c r="S51" s="1029"/>
    </row>
    <row r="52" spans="1:19">
      <c r="A52" s="66"/>
      <c r="B52" s="1027"/>
      <c r="D52" s="1042"/>
      <c r="G52" s="1042"/>
      <c r="J52" s="66" t="s">
        <v>533</v>
      </c>
      <c r="K52" s="85">
        <f>F43+F35</f>
        <v>5768.0728279454015</v>
      </c>
      <c r="Q52" s="1029"/>
      <c r="R52" s="1029"/>
      <c r="S52" s="1029"/>
    </row>
    <row r="53" spans="1:19">
      <c r="A53" s="66"/>
      <c r="B53" s="1027"/>
      <c r="D53" s="1042"/>
      <c r="F53" s="1028">
        <f>F50*1.3</f>
        <v>143520</v>
      </c>
      <c r="G53" s="1042"/>
      <c r="Q53" s="1029"/>
      <c r="R53" s="1029"/>
      <c r="S53" s="1029"/>
    </row>
    <row r="54" spans="1:19">
      <c r="A54" s="66"/>
      <c r="B54" s="1027"/>
      <c r="D54" s="1042"/>
      <c r="F54" s="1028">
        <f>F51*1.3</f>
        <v>150020</v>
      </c>
      <c r="G54" s="1042"/>
      <c r="Q54" s="1029"/>
      <c r="R54" s="1029"/>
      <c r="S54" s="1029"/>
    </row>
    <row r="55" spans="1:19">
      <c r="A55" s="66"/>
      <c r="B55" s="1027"/>
      <c r="D55" s="1042"/>
      <c r="G55" s="1042"/>
      <c r="J55" s="1036" t="s">
        <v>493</v>
      </c>
      <c r="K55" s="1040">
        <f>SUM(K56:K60)</f>
        <v>10784.349810127609</v>
      </c>
      <c r="N55" s="1041">
        <f>K57+K58</f>
        <v>5778.8968115337566</v>
      </c>
      <c r="O55" s="1041">
        <f>K56+K59</f>
        <v>5005.4529985938525</v>
      </c>
      <c r="Q55" s="1029"/>
      <c r="R55" s="1041">
        <f>N55*1.1</f>
        <v>6356.7864926871325</v>
      </c>
      <c r="S55" s="1041">
        <f>O55*1.1</f>
        <v>5505.998298453238</v>
      </c>
    </row>
    <row r="56" spans="1:19">
      <c r="A56" s="66"/>
      <c r="B56" s="1027"/>
      <c r="D56" s="1042"/>
      <c r="G56" s="1042"/>
      <c r="J56" s="66" t="s">
        <v>527</v>
      </c>
      <c r="K56" s="85">
        <f>F9</f>
        <v>4096.9399452453845</v>
      </c>
      <c r="Q56" s="1029"/>
      <c r="R56" s="1029"/>
      <c r="S56" s="1029"/>
    </row>
    <row r="57" spans="1:19">
      <c r="A57" s="66"/>
      <c r="B57" s="1027"/>
      <c r="D57" s="1042"/>
      <c r="G57" s="1042"/>
      <c r="J57" s="66" t="s">
        <v>530</v>
      </c>
      <c r="K57" s="85">
        <f>F30+F39</f>
        <v>4208.6781051586986</v>
      </c>
      <c r="Q57" s="1029"/>
      <c r="R57" s="1029"/>
      <c r="S57" s="1029"/>
    </row>
    <row r="58" spans="1:19">
      <c r="A58" s="66"/>
      <c r="B58" s="1027"/>
      <c r="D58" s="1042"/>
      <c r="G58" s="1042"/>
      <c r="J58" s="66" t="s">
        <v>528</v>
      </c>
      <c r="K58" s="85">
        <f>F18</f>
        <v>1570.2187063750582</v>
      </c>
      <c r="Q58" s="1029"/>
      <c r="R58" s="1029"/>
      <c r="S58" s="1029"/>
    </row>
    <row r="59" spans="1:19">
      <c r="A59" s="66"/>
      <c r="B59" s="1027"/>
      <c r="D59" s="1042"/>
      <c r="G59" s="1042"/>
      <c r="J59" s="66" t="s">
        <v>529</v>
      </c>
      <c r="K59" s="85">
        <f>F23</f>
        <v>908.51305334846768</v>
      </c>
      <c r="Q59" s="1029"/>
      <c r="R59" s="1029"/>
      <c r="S59" s="1029"/>
    </row>
    <row r="60" spans="1:19">
      <c r="A60" s="66"/>
      <c r="B60" s="1027"/>
      <c r="D60" s="1042"/>
      <c r="G60" s="1042"/>
      <c r="J60" s="66" t="s">
        <v>0</v>
      </c>
      <c r="Q60" s="1029"/>
      <c r="R60" s="1029"/>
      <c r="S60" s="1029"/>
    </row>
    <row r="61" spans="1:19">
      <c r="A61" s="118" t="s">
        <v>532</v>
      </c>
      <c r="B61" s="1027"/>
      <c r="D61" s="1042"/>
      <c r="G61" s="1042"/>
      <c r="J61" s="66" t="s">
        <v>0</v>
      </c>
      <c r="Q61" s="1029"/>
      <c r="R61" s="1029"/>
      <c r="S61" s="1029"/>
    </row>
    <row r="62" spans="1:19">
      <c r="A62" s="66"/>
      <c r="B62" s="1027"/>
      <c r="D62" s="1042"/>
      <c r="G62" s="1042"/>
      <c r="J62" s="66" t="s">
        <v>0</v>
      </c>
    </row>
    <row r="63" spans="1:19">
      <c r="A63" s="66"/>
      <c r="D63" s="1042"/>
      <c r="G63" s="1042"/>
    </row>
    <row r="64" spans="1:19" s="118" customFormat="1">
      <c r="A64" s="118" t="s">
        <v>520</v>
      </c>
      <c r="B64" s="1044"/>
      <c r="C64" s="1030">
        <f>C8+C17+C22+C29+C38</f>
        <v>162534</v>
      </c>
      <c r="D64" s="1044"/>
      <c r="F64" s="1030"/>
      <c r="I64" s="1069"/>
      <c r="L64" s="1069"/>
      <c r="M64" s="1050"/>
      <c r="N64" s="1050"/>
      <c r="O64" s="1050"/>
      <c r="P64" s="1069"/>
      <c r="Q64"/>
      <c r="R64"/>
      <c r="S64"/>
    </row>
    <row r="65" spans="1:19">
      <c r="A65" s="1051" t="s">
        <v>521</v>
      </c>
      <c r="B65" s="1037"/>
      <c r="C65" s="1052">
        <v>1.6</v>
      </c>
      <c r="D65" s="1037"/>
      <c r="E65" s="67"/>
      <c r="F65" s="1053"/>
      <c r="G65" s="67"/>
      <c r="J65" s="67"/>
      <c r="K65" s="67"/>
      <c r="M65" s="1054"/>
      <c r="N65" s="1054"/>
      <c r="O65" s="1054"/>
      <c r="Q65" s="67"/>
      <c r="R65" s="67"/>
      <c r="S65" s="67"/>
    </row>
    <row r="66" spans="1:19" s="118" customFormat="1">
      <c r="A66" s="118" t="s">
        <v>522</v>
      </c>
      <c r="B66" s="1044"/>
      <c r="C66" s="1030">
        <f>C64*C65</f>
        <v>260054.40000000002</v>
      </c>
      <c r="D66" s="1044"/>
      <c r="F66" s="1030">
        <f>F38+F29+F22+F17+F8+F45</f>
        <v>225800</v>
      </c>
      <c r="I66" s="1069"/>
      <c r="J66" s="118" t="s">
        <v>523</v>
      </c>
      <c r="K66" s="1030">
        <f>K49+K29+K22+K17+K8+K45</f>
        <v>159330.85232353944</v>
      </c>
      <c r="L66" s="1069"/>
      <c r="M66" s="1030">
        <f>SUM(M8:M65)</f>
        <v>15858.483845167166</v>
      </c>
      <c r="N66" s="1030">
        <f>SUM(N8:N65)</f>
        <v>106614.23765270051</v>
      </c>
      <c r="O66" s="1030">
        <f>SUM(O8:O65)</f>
        <v>103327.27850213235</v>
      </c>
      <c r="P66" s="1069"/>
      <c r="Q66" s="1030">
        <f>SUM(Q8:Q65)</f>
        <v>17444.332229683885</v>
      </c>
      <c r="R66" s="1030">
        <f>SUM(R8:R65)</f>
        <v>117275.66141797055</v>
      </c>
      <c r="S66" s="1030">
        <f>SUM(S8:S65)</f>
        <v>113660.00635234559</v>
      </c>
    </row>
    <row r="67" spans="1:19">
      <c r="J67" s="66" t="s">
        <v>534</v>
      </c>
      <c r="M67" s="1041">
        <f>M66*1.1</f>
        <v>17444.332229683885</v>
      </c>
      <c r="N67" s="1041">
        <f>N66*1.1</f>
        <v>117275.66141797056</v>
      </c>
      <c r="O67" s="1041">
        <f>O66*1.1</f>
        <v>113660.00635234559</v>
      </c>
    </row>
    <row r="68" spans="1:19">
      <c r="J68" s="66" t="s">
        <v>526</v>
      </c>
      <c r="K68" s="120" t="s">
        <v>0</v>
      </c>
      <c r="M68" s="1045">
        <f>M66*1.3</f>
        <v>20616.028998717316</v>
      </c>
      <c r="N68" s="1045">
        <f>N66*1.3</f>
        <v>138598.50894851066</v>
      </c>
      <c r="O68" s="1045">
        <f>O66*1.3</f>
        <v>134325.46205277205</v>
      </c>
    </row>
    <row r="69" spans="1:19" s="86" customFormat="1" ht="25.5" customHeight="1">
      <c r="B69" s="1025"/>
      <c r="C69" s="1055"/>
      <c r="D69" s="1025"/>
      <c r="F69" s="1055"/>
      <c r="I69" s="1057"/>
      <c r="J69" s="1063" t="s">
        <v>535</v>
      </c>
      <c r="K69" s="1058"/>
      <c r="L69" s="1057"/>
      <c r="M69" s="1059"/>
      <c r="N69" s="1067"/>
      <c r="O69" s="1075">
        <f>N68-O68</f>
        <v>4273.0468957386038</v>
      </c>
      <c r="P69" s="1061"/>
      <c r="R69"/>
      <c r="S69"/>
    </row>
    <row r="70" spans="1:19" ht="12" customHeight="1">
      <c r="J70" s="1063"/>
      <c r="K70" s="1057"/>
      <c r="M70" s="1064"/>
      <c r="N70" s="1064"/>
      <c r="O70" s="1064"/>
    </row>
    <row r="71" spans="1:19" ht="12" customHeight="1">
      <c r="J71" s="1063"/>
      <c r="K71" s="1065"/>
      <c r="M71" s="1064"/>
      <c r="N71" s="1064"/>
      <c r="O71" s="1064"/>
    </row>
    <row r="72" spans="1:19">
      <c r="J72" s="1057"/>
      <c r="K72" s="1066"/>
      <c r="M72" s="1067"/>
      <c r="N72" s="1067"/>
      <c r="O72" s="1067" t="s">
        <v>0</v>
      </c>
      <c r="S72" s="1067">
        <f>Q66+R66+S66</f>
        <v>248380</v>
      </c>
    </row>
    <row r="73" spans="1:19">
      <c r="J73" s="1057"/>
      <c r="K73" s="1057"/>
      <c r="M73" s="1067"/>
      <c r="N73" s="1067"/>
      <c r="O73" s="1067"/>
    </row>
    <row r="74" spans="1:19">
      <c r="J74" s="1057"/>
      <c r="K74" s="1057"/>
      <c r="M74" s="1059"/>
      <c r="N74" s="1059"/>
      <c r="O74" s="1059"/>
    </row>
    <row r="75" spans="1:19" ht="22.5" customHeight="1">
      <c r="I75" s="1061"/>
      <c r="J75" s="1060"/>
      <c r="K75" s="1061"/>
      <c r="L75" s="1061"/>
      <c r="M75" s="1062"/>
      <c r="N75" s="1062"/>
      <c r="O75" s="1062"/>
      <c r="P75" s="1061"/>
    </row>
    <row r="76" spans="1:19">
      <c r="J76" s="1063"/>
      <c r="K76" s="1057"/>
      <c r="M76" s="1064"/>
      <c r="N76" s="1064"/>
      <c r="O76" s="1064"/>
    </row>
    <row r="77" spans="1:19">
      <c r="J77" s="1057"/>
      <c r="K77" s="1066"/>
      <c r="M77" s="1067"/>
      <c r="N77" s="1067"/>
      <c r="O77" s="1067"/>
    </row>
    <row r="78" spans="1:19">
      <c r="J78" s="1057"/>
      <c r="K78" s="1057"/>
      <c r="M78" s="1059"/>
      <c r="N78" s="1059"/>
      <c r="O78" s="1059"/>
    </row>
  </sheetData>
  <mergeCells count="2">
    <mergeCell ref="M5:O5"/>
    <mergeCell ref="Q5:S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3E26C-04C1-464A-A306-62588E2A21F2}">
  <dimension ref="A2:W88"/>
  <sheetViews>
    <sheetView workbookViewId="0"/>
  </sheetViews>
  <sheetFormatPr defaultRowHeight="13.2"/>
  <cols>
    <col min="3" max="3" width="71" customWidth="1"/>
    <col min="4" max="4" width="9.6640625" customWidth="1"/>
    <col min="5" max="5" width="15.6640625" customWidth="1"/>
    <col min="6" max="6" width="12.6640625" customWidth="1"/>
    <col min="7" max="7" width="15.6640625" customWidth="1"/>
    <col min="8" max="9" width="12.6640625" customWidth="1"/>
    <col min="10" max="10" width="15.6640625" customWidth="1"/>
    <col min="11" max="13" width="12.6640625" customWidth="1"/>
    <col min="14" max="14" width="15.6640625" customWidth="1"/>
    <col min="15" max="21" width="12.6640625" customWidth="1"/>
  </cols>
  <sheetData>
    <row r="2" spans="1:22" ht="13.8">
      <c r="A2" s="292"/>
      <c r="B2" s="841" t="s">
        <v>461</v>
      </c>
      <c r="C2" s="842"/>
      <c r="D2" s="385"/>
      <c r="E2" s="294"/>
      <c r="F2" s="295"/>
      <c r="G2" s="295"/>
      <c r="H2" s="295"/>
      <c r="I2" s="295"/>
      <c r="J2" s="294"/>
      <c r="K2" s="294"/>
      <c r="L2" s="294"/>
      <c r="M2" s="295"/>
      <c r="N2" s="294"/>
      <c r="O2" s="294"/>
      <c r="P2" s="294"/>
      <c r="Q2" s="294"/>
      <c r="R2" s="294"/>
      <c r="S2" s="294"/>
      <c r="T2" s="294"/>
      <c r="U2" s="294"/>
      <c r="V2" s="294"/>
    </row>
    <row r="3" spans="1:22" ht="13.8">
      <c r="A3" s="292"/>
      <c r="B3" s="293"/>
      <c r="C3" s="293"/>
      <c r="D3" s="294"/>
      <c r="E3" s="294"/>
      <c r="F3" s="295"/>
      <c r="G3" s="295"/>
      <c r="H3" s="295"/>
      <c r="I3" s="295"/>
      <c r="J3" s="385"/>
      <c r="K3" s="386"/>
      <c r="L3" s="387"/>
      <c r="M3" s="388"/>
      <c r="N3" s="387"/>
      <c r="O3" s="386"/>
      <c r="P3" s="386"/>
      <c r="Q3" s="386"/>
      <c r="R3" s="386"/>
      <c r="S3" s="386"/>
      <c r="T3" s="386"/>
      <c r="U3" s="387"/>
      <c r="V3" s="294"/>
    </row>
    <row r="4" spans="1:22" ht="43.2">
      <c r="A4" s="292"/>
      <c r="B4" s="296" t="s">
        <v>104</v>
      </c>
      <c r="C4" s="293"/>
      <c r="D4" s="297"/>
      <c r="E4" s="297"/>
      <c r="F4" s="293"/>
      <c r="G4" s="293"/>
      <c r="H4" s="293"/>
      <c r="I4" s="293"/>
      <c r="J4" s="293"/>
      <c r="K4" s="293"/>
      <c r="L4" s="293"/>
      <c r="M4" s="293"/>
      <c r="N4" s="293"/>
      <c r="O4" s="297"/>
      <c r="P4" s="293"/>
      <c r="Q4" s="293"/>
      <c r="R4" s="293"/>
      <c r="S4" s="293"/>
      <c r="T4" s="293"/>
      <c r="U4" s="293"/>
      <c r="V4" s="293"/>
    </row>
    <row r="5" spans="1:22" ht="20.399999999999999" thickBot="1">
      <c r="A5" s="292"/>
      <c r="B5" s="298"/>
      <c r="C5" s="293"/>
      <c r="D5" s="297"/>
      <c r="E5" s="297"/>
      <c r="F5" s="293"/>
      <c r="G5" s="293"/>
      <c r="H5" s="293"/>
      <c r="I5" s="293"/>
      <c r="J5" s="293"/>
      <c r="K5" s="293"/>
      <c r="L5" s="293"/>
      <c r="M5" s="293"/>
      <c r="N5" s="293"/>
      <c r="O5" s="297"/>
      <c r="P5" s="293"/>
      <c r="Q5" s="293"/>
      <c r="R5" s="293"/>
      <c r="S5" s="293"/>
      <c r="T5" s="293"/>
      <c r="U5" s="293"/>
      <c r="V5" s="293"/>
    </row>
    <row r="6" spans="1:22" ht="17.399999999999999" thickBot="1">
      <c r="A6" s="292"/>
      <c r="B6" s="299" t="s">
        <v>105</v>
      </c>
      <c r="C6" s="299"/>
      <c r="D6" s="297"/>
      <c r="E6" s="300"/>
      <c r="F6" s="292"/>
      <c r="G6" s="292"/>
      <c r="H6" s="1194" t="s">
        <v>186</v>
      </c>
      <c r="I6" s="1195"/>
      <c r="J6" s="1195"/>
      <c r="K6" s="1196"/>
      <c r="L6" s="1197" t="s">
        <v>185</v>
      </c>
      <c r="M6" s="1198"/>
      <c r="N6" s="1198"/>
      <c r="O6" s="1198"/>
      <c r="P6" s="1198"/>
      <c r="Q6" s="1198"/>
      <c r="R6" s="1198"/>
      <c r="S6" s="1198"/>
      <c r="T6" s="1198"/>
      <c r="U6" s="1199"/>
      <c r="V6" s="292"/>
    </row>
    <row r="7" spans="1:22" ht="39.6">
      <c r="A7" s="301"/>
      <c r="B7" s="302" t="s">
        <v>106</v>
      </c>
      <c r="C7" s="303" t="s">
        <v>107</v>
      </c>
      <c r="D7" s="304" t="s">
        <v>108</v>
      </c>
      <c r="E7" s="378" t="s">
        <v>109</v>
      </c>
      <c r="F7" s="305" t="s">
        <v>110</v>
      </c>
      <c r="G7" s="382" t="s">
        <v>111</v>
      </c>
      <c r="H7" s="372" t="s">
        <v>112</v>
      </c>
      <c r="I7" s="306" t="s">
        <v>113</v>
      </c>
      <c r="J7" s="375" t="s">
        <v>114</v>
      </c>
      <c r="K7" s="337" t="s">
        <v>115</v>
      </c>
      <c r="L7" s="372" t="s">
        <v>112</v>
      </c>
      <c r="M7" s="306" t="s">
        <v>116</v>
      </c>
      <c r="N7" s="375" t="s">
        <v>117</v>
      </c>
      <c r="O7" s="342" t="s">
        <v>118</v>
      </c>
      <c r="P7" s="347" t="s">
        <v>119</v>
      </c>
      <c r="Q7" s="352" t="s">
        <v>120</v>
      </c>
      <c r="R7" s="357" t="s">
        <v>121</v>
      </c>
      <c r="S7" s="362" t="s">
        <v>122</v>
      </c>
      <c r="T7" s="367" t="s">
        <v>123</v>
      </c>
      <c r="U7" s="389" t="s">
        <v>47</v>
      </c>
      <c r="V7" s="301"/>
    </row>
    <row r="8" spans="1:22">
      <c r="A8" s="307"/>
      <c r="B8" s="308"/>
      <c r="C8" s="307"/>
      <c r="D8" s="309"/>
      <c r="E8" s="379"/>
      <c r="F8" s="310"/>
      <c r="G8" s="383"/>
      <c r="H8" s="373"/>
      <c r="I8" s="311"/>
      <c r="J8" s="376"/>
      <c r="K8" s="338"/>
      <c r="L8" s="373"/>
      <c r="M8" s="311"/>
      <c r="N8" s="376"/>
      <c r="O8" s="343"/>
      <c r="P8" s="348"/>
      <c r="Q8" s="353"/>
      <c r="R8" s="358"/>
      <c r="S8" s="363"/>
      <c r="T8" s="368"/>
      <c r="U8" s="390"/>
      <c r="V8" s="307"/>
    </row>
    <row r="9" spans="1:22">
      <c r="A9" s="307"/>
      <c r="B9" s="308"/>
      <c r="C9" s="315"/>
      <c r="D9" s="309"/>
      <c r="E9" s="379"/>
      <c r="F9" s="310"/>
      <c r="G9" s="383"/>
      <c r="H9" s="373"/>
      <c r="I9" s="311"/>
      <c r="J9" s="376">
        <f>SUM(K9:Y9)</f>
        <v>0</v>
      </c>
      <c r="K9" s="338">
        <v>0</v>
      </c>
      <c r="L9" s="373"/>
      <c r="M9" s="311"/>
      <c r="N9" s="376">
        <f t="shared" ref="N9:N23" si="0">SUM(O9:AA9)</f>
        <v>0</v>
      </c>
      <c r="O9" s="343">
        <v>0</v>
      </c>
      <c r="P9" s="348">
        <v>0</v>
      </c>
      <c r="Q9" s="353">
        <v>0</v>
      </c>
      <c r="R9" s="358">
        <v>0</v>
      </c>
      <c r="S9" s="363">
        <v>0</v>
      </c>
      <c r="T9" s="368">
        <v>0</v>
      </c>
      <c r="U9" s="390">
        <v>0</v>
      </c>
      <c r="V9" s="307"/>
    </row>
    <row r="10" spans="1:22">
      <c r="A10" s="307"/>
      <c r="B10" s="308" t="s">
        <v>386</v>
      </c>
      <c r="C10" s="315" t="s">
        <v>125</v>
      </c>
      <c r="D10" s="309">
        <v>0</v>
      </c>
      <c r="E10" s="379">
        <f t="shared" ref="E10:E24" si="1">H10+F10+L10</f>
        <v>12000</v>
      </c>
      <c r="F10" s="310">
        <v>12000</v>
      </c>
      <c r="G10" s="383"/>
      <c r="H10" s="373"/>
      <c r="I10" s="311"/>
      <c r="J10" s="376">
        <f>SUM(K10:Y10)</f>
        <v>0</v>
      </c>
      <c r="K10" s="338">
        <v>0</v>
      </c>
      <c r="L10" s="373"/>
      <c r="M10" s="311"/>
      <c r="N10" s="376">
        <f t="shared" si="0"/>
        <v>0</v>
      </c>
      <c r="O10" s="343">
        <v>0</v>
      </c>
      <c r="P10" s="348">
        <v>0</v>
      </c>
      <c r="Q10" s="353">
        <v>0</v>
      </c>
      <c r="R10" s="358">
        <v>0</v>
      </c>
      <c r="S10" s="363">
        <v>0</v>
      </c>
      <c r="T10" s="368">
        <v>0</v>
      </c>
      <c r="U10" s="390">
        <v>0</v>
      </c>
      <c r="V10" s="307"/>
    </row>
    <row r="11" spans="1:22">
      <c r="A11" s="307"/>
      <c r="B11" s="973" t="s">
        <v>124</v>
      </c>
      <c r="C11" s="974" t="s">
        <v>135</v>
      </c>
      <c r="D11" s="975">
        <v>0</v>
      </c>
      <c r="E11" s="976">
        <f t="shared" si="1"/>
        <v>64000</v>
      </c>
      <c r="F11" s="977">
        <v>64000</v>
      </c>
      <c r="G11" s="978"/>
      <c r="H11" s="979"/>
      <c r="I11" s="980"/>
      <c r="J11" s="981">
        <f>SUM(K11:Y11)</f>
        <v>0</v>
      </c>
      <c r="K11" s="982">
        <v>0</v>
      </c>
      <c r="L11" s="979"/>
      <c r="M11" s="1000"/>
      <c r="N11" s="981">
        <f t="shared" si="0"/>
        <v>0</v>
      </c>
      <c r="O11" s="983">
        <v>0</v>
      </c>
      <c r="P11" s="984">
        <v>0</v>
      </c>
      <c r="Q11" s="985">
        <v>0</v>
      </c>
      <c r="R11" s="986">
        <v>0</v>
      </c>
      <c r="S11" s="987">
        <v>0</v>
      </c>
      <c r="T11" s="988">
        <v>0</v>
      </c>
      <c r="U11" s="989">
        <v>0</v>
      </c>
      <c r="V11" s="307"/>
    </row>
    <row r="12" spans="1:22">
      <c r="A12" s="307"/>
      <c r="B12" s="990">
        <v>12</v>
      </c>
      <c r="C12" s="991" t="s">
        <v>130</v>
      </c>
      <c r="D12" s="309">
        <v>0</v>
      </c>
      <c r="E12" s="379">
        <f t="shared" si="1"/>
        <v>88164</v>
      </c>
      <c r="F12" s="992">
        <v>0</v>
      </c>
      <c r="G12" s="383">
        <f t="shared" ref="G12:G24" si="2">SUM(H12,L12)</f>
        <v>88164</v>
      </c>
      <c r="H12" s="373">
        <f t="shared" ref="H12:H25" si="3">(I12*K12)</f>
        <v>88164</v>
      </c>
      <c r="I12" s="316">
        <v>1.3</v>
      </c>
      <c r="J12" s="376">
        <f t="shared" ref="J12:J25" si="4">SUM(K12)</f>
        <v>67818.461538461532</v>
      </c>
      <c r="K12" s="993">
        <f>'Hospital Program TARGET_DESIGN'!AO57/6.5</f>
        <v>67818.461538461532</v>
      </c>
      <c r="L12" s="373">
        <f t="shared" ref="L12:L25" si="5">(SUM(U12,O12,P12,Q12,R12,S12,T12)*M12)</f>
        <v>0</v>
      </c>
      <c r="M12" s="316">
        <v>1.25</v>
      </c>
      <c r="N12" s="376">
        <f t="shared" si="0"/>
        <v>0</v>
      </c>
      <c r="O12" s="994">
        <v>0</v>
      </c>
      <c r="P12" s="995">
        <v>0</v>
      </c>
      <c r="Q12" s="996">
        <v>0</v>
      </c>
      <c r="R12" s="997">
        <v>0</v>
      </c>
      <c r="S12" s="998">
        <v>0</v>
      </c>
      <c r="T12" s="999">
        <v>0</v>
      </c>
      <c r="U12" s="390">
        <v>0</v>
      </c>
      <c r="V12" s="307"/>
    </row>
    <row r="13" spans="1:22">
      <c r="A13" s="307"/>
      <c r="B13" s="308">
        <v>11</v>
      </c>
      <c r="C13" s="315" t="s">
        <v>130</v>
      </c>
      <c r="D13" s="309">
        <v>0</v>
      </c>
      <c r="E13" s="379">
        <f t="shared" si="1"/>
        <v>88164</v>
      </c>
      <c r="F13" s="310">
        <v>0</v>
      </c>
      <c r="G13" s="383">
        <f t="shared" si="2"/>
        <v>88164</v>
      </c>
      <c r="H13" s="373">
        <f t="shared" si="3"/>
        <v>88164</v>
      </c>
      <c r="I13" s="316">
        <v>1.3</v>
      </c>
      <c r="J13" s="376">
        <f t="shared" si="4"/>
        <v>67818.461538461532</v>
      </c>
      <c r="K13" s="338">
        <f>'Hospital Program TARGET_DESIGN'!AO57/6.5</f>
        <v>67818.461538461532</v>
      </c>
      <c r="L13" s="373">
        <f t="shared" si="5"/>
        <v>0</v>
      </c>
      <c r="M13" s="316">
        <v>1.25</v>
      </c>
      <c r="N13" s="376">
        <f t="shared" si="0"/>
        <v>0</v>
      </c>
      <c r="O13" s="343">
        <v>0</v>
      </c>
      <c r="P13" s="348">
        <v>0</v>
      </c>
      <c r="Q13" s="353">
        <v>0</v>
      </c>
      <c r="R13" s="358">
        <v>0</v>
      </c>
      <c r="S13" s="363">
        <v>0</v>
      </c>
      <c r="T13" s="368">
        <v>0</v>
      </c>
      <c r="U13" s="390">
        <v>0</v>
      </c>
      <c r="V13" s="307"/>
    </row>
    <row r="14" spans="1:22">
      <c r="A14" s="307"/>
      <c r="B14" s="308">
        <v>10</v>
      </c>
      <c r="C14" s="315" t="s">
        <v>130</v>
      </c>
      <c r="D14" s="309">
        <v>0</v>
      </c>
      <c r="E14" s="379">
        <f>H14+F14+L14</f>
        <v>88163.400000000009</v>
      </c>
      <c r="F14" s="310">
        <v>0</v>
      </c>
      <c r="G14" s="383">
        <f t="shared" si="2"/>
        <v>88163.400000000009</v>
      </c>
      <c r="H14" s="373">
        <f t="shared" si="3"/>
        <v>88163.400000000009</v>
      </c>
      <c r="I14" s="316">
        <v>1.3</v>
      </c>
      <c r="J14" s="376">
        <f t="shared" si="4"/>
        <v>67818</v>
      </c>
      <c r="K14" s="338">
        <v>67818</v>
      </c>
      <c r="L14" s="373">
        <f t="shared" si="5"/>
        <v>0</v>
      </c>
      <c r="M14" s="316">
        <v>1.25</v>
      </c>
      <c r="N14" s="376">
        <f t="shared" si="0"/>
        <v>0</v>
      </c>
      <c r="O14" s="343">
        <v>0</v>
      </c>
      <c r="P14" s="348">
        <v>0</v>
      </c>
      <c r="Q14" s="353">
        <v>0</v>
      </c>
      <c r="R14" s="358">
        <v>0</v>
      </c>
      <c r="S14" s="363">
        <v>0</v>
      </c>
      <c r="T14" s="368">
        <v>0</v>
      </c>
      <c r="U14" s="390">
        <v>0</v>
      </c>
      <c r="V14" s="307"/>
    </row>
    <row r="15" spans="1:22">
      <c r="A15" s="307"/>
      <c r="B15" s="308">
        <v>9</v>
      </c>
      <c r="C15" s="315" t="s">
        <v>130</v>
      </c>
      <c r="D15" s="309">
        <v>0</v>
      </c>
      <c r="E15" s="379">
        <f t="shared" si="1"/>
        <v>88164</v>
      </c>
      <c r="F15" s="310">
        <v>0</v>
      </c>
      <c r="G15" s="383">
        <f t="shared" si="2"/>
        <v>88164</v>
      </c>
      <c r="H15" s="373">
        <f t="shared" si="3"/>
        <v>88164</v>
      </c>
      <c r="I15" s="316">
        <v>1.3</v>
      </c>
      <c r="J15" s="376">
        <f t="shared" si="4"/>
        <v>67818.461538461532</v>
      </c>
      <c r="K15" s="338">
        <f>'Hospital Program TARGET_DESIGN'!AO57/6.5</f>
        <v>67818.461538461532</v>
      </c>
      <c r="L15" s="373">
        <f t="shared" si="5"/>
        <v>0</v>
      </c>
      <c r="M15" s="316">
        <v>1.25</v>
      </c>
      <c r="N15" s="376">
        <f t="shared" si="0"/>
        <v>0</v>
      </c>
      <c r="O15" s="343">
        <v>0</v>
      </c>
      <c r="P15" s="348">
        <v>0</v>
      </c>
      <c r="Q15" s="353">
        <v>0</v>
      </c>
      <c r="R15" s="358">
        <v>0</v>
      </c>
      <c r="S15" s="363">
        <v>0</v>
      </c>
      <c r="T15" s="368">
        <v>0</v>
      </c>
      <c r="U15" s="390">
        <v>0</v>
      </c>
      <c r="V15" s="307"/>
    </row>
    <row r="16" spans="1:22">
      <c r="A16" s="307"/>
      <c r="B16" s="308">
        <v>8</v>
      </c>
      <c r="C16" s="315" t="s">
        <v>132</v>
      </c>
      <c r="D16" s="309">
        <v>0</v>
      </c>
      <c r="E16" s="379">
        <f t="shared" si="1"/>
        <v>88163.400000000009</v>
      </c>
      <c r="F16" s="310">
        <v>0</v>
      </c>
      <c r="G16" s="383">
        <f t="shared" si="2"/>
        <v>88163.400000000009</v>
      </c>
      <c r="H16" s="373">
        <f t="shared" si="3"/>
        <v>88163.400000000009</v>
      </c>
      <c r="I16" s="316">
        <v>1.3</v>
      </c>
      <c r="J16" s="376">
        <f t="shared" si="4"/>
        <v>67818</v>
      </c>
      <c r="K16" s="338">
        <v>67818</v>
      </c>
      <c r="L16" s="373">
        <f t="shared" si="5"/>
        <v>0</v>
      </c>
      <c r="M16" s="316">
        <v>1.25</v>
      </c>
      <c r="N16" s="376">
        <f t="shared" si="0"/>
        <v>0</v>
      </c>
      <c r="O16" s="343">
        <v>0</v>
      </c>
      <c r="P16" s="348">
        <v>0</v>
      </c>
      <c r="Q16" s="353">
        <v>0</v>
      </c>
      <c r="R16" s="358">
        <v>0</v>
      </c>
      <c r="S16" s="363">
        <v>0</v>
      </c>
      <c r="T16" s="368">
        <v>0</v>
      </c>
      <c r="U16" s="390">
        <v>0</v>
      </c>
      <c r="V16" s="307"/>
    </row>
    <row r="17" spans="1:22">
      <c r="A17" s="307"/>
      <c r="B17" s="308">
        <v>7</v>
      </c>
      <c r="C17" s="315" t="s">
        <v>131</v>
      </c>
      <c r="D17" s="309">
        <v>0</v>
      </c>
      <c r="E17" s="379" t="e">
        <f t="shared" si="1"/>
        <v>#REF!</v>
      </c>
      <c r="F17" s="310">
        <v>0</v>
      </c>
      <c r="G17" s="383" t="e">
        <f t="shared" si="2"/>
        <v>#REF!</v>
      </c>
      <c r="H17" s="373" t="e">
        <f t="shared" si="3"/>
        <v>#REF!</v>
      </c>
      <c r="I17" s="316">
        <v>1.3</v>
      </c>
      <c r="J17" s="376" t="e">
        <f t="shared" si="4"/>
        <v>#REF!</v>
      </c>
      <c r="K17" s="338" t="e">
        <f>'Hospital Program TARGET_DESIGN'!AO63+1</f>
        <v>#REF!</v>
      </c>
      <c r="L17" s="373">
        <f t="shared" si="5"/>
        <v>50000</v>
      </c>
      <c r="M17" s="316">
        <v>1.25</v>
      </c>
      <c r="N17" s="376">
        <f t="shared" si="0"/>
        <v>40000</v>
      </c>
      <c r="O17" s="343">
        <v>0</v>
      </c>
      <c r="P17" s="348">
        <f>'Hospital Program TARGET_DESIGN'!AO44+'Hospital Program TARGET_DESIGN'!AO45+'Hospital Program TARGET_DESIGN'!AO46</f>
        <v>40000</v>
      </c>
      <c r="Q17" s="353">
        <v>0</v>
      </c>
      <c r="R17" s="358">
        <v>0</v>
      </c>
      <c r="S17" s="363">
        <v>0</v>
      </c>
      <c r="T17" s="368">
        <v>0</v>
      </c>
      <c r="U17" s="390">
        <v>0</v>
      </c>
      <c r="V17" s="307"/>
    </row>
    <row r="18" spans="1:22">
      <c r="A18" s="307"/>
      <c r="B18" s="308">
        <v>6</v>
      </c>
      <c r="C18" s="315" t="s">
        <v>137</v>
      </c>
      <c r="D18" s="309">
        <v>0</v>
      </c>
      <c r="E18" s="379">
        <f t="shared" si="1"/>
        <v>44082</v>
      </c>
      <c r="F18" s="310">
        <v>0</v>
      </c>
      <c r="G18" s="383">
        <f t="shared" si="2"/>
        <v>44082</v>
      </c>
      <c r="H18" s="373">
        <f t="shared" si="3"/>
        <v>44082</v>
      </c>
      <c r="I18" s="316">
        <v>1.3</v>
      </c>
      <c r="J18" s="376">
        <f t="shared" si="4"/>
        <v>33909.230769230766</v>
      </c>
      <c r="K18" s="338">
        <f>'Hospital Program TARGET_DESIGN'!AO57/13</f>
        <v>33909.230769230766</v>
      </c>
      <c r="L18" s="373">
        <f t="shared" si="5"/>
        <v>0</v>
      </c>
      <c r="M18" s="316">
        <v>1.25</v>
      </c>
      <c r="N18" s="376">
        <f t="shared" si="0"/>
        <v>0</v>
      </c>
      <c r="O18" s="343">
        <v>0</v>
      </c>
      <c r="P18" s="348">
        <v>0</v>
      </c>
      <c r="Q18" s="353">
        <v>0</v>
      </c>
      <c r="R18" s="358">
        <v>0</v>
      </c>
      <c r="S18" s="363">
        <v>0</v>
      </c>
      <c r="T18" s="368">
        <v>0</v>
      </c>
      <c r="U18" s="390">
        <v>0</v>
      </c>
      <c r="V18" s="307"/>
    </row>
    <row r="19" spans="1:22">
      <c r="A19" s="307"/>
      <c r="B19" s="308">
        <v>5</v>
      </c>
      <c r="C19" s="315" t="s">
        <v>133</v>
      </c>
      <c r="D19" s="309">
        <v>0</v>
      </c>
      <c r="E19" s="379">
        <f t="shared" si="1"/>
        <v>144082</v>
      </c>
      <c r="F19" s="310">
        <v>100000</v>
      </c>
      <c r="G19" s="383">
        <f t="shared" si="2"/>
        <v>44082</v>
      </c>
      <c r="H19" s="373">
        <f t="shared" si="3"/>
        <v>44082</v>
      </c>
      <c r="I19" s="316">
        <v>1.3</v>
      </c>
      <c r="J19" s="376">
        <f t="shared" si="4"/>
        <v>33909.230769230766</v>
      </c>
      <c r="K19" s="338">
        <f>'Hospital Program TARGET_DESIGN'!AO57/13</f>
        <v>33909.230769230766</v>
      </c>
      <c r="L19" s="373">
        <f t="shared" si="5"/>
        <v>0</v>
      </c>
      <c r="M19" s="316">
        <v>1.25</v>
      </c>
      <c r="N19" s="376">
        <f t="shared" si="0"/>
        <v>0</v>
      </c>
      <c r="O19" s="343">
        <v>0</v>
      </c>
      <c r="P19" s="348">
        <v>0</v>
      </c>
      <c r="Q19" s="353">
        <v>0</v>
      </c>
      <c r="R19" s="358">
        <v>0</v>
      </c>
      <c r="S19" s="363">
        <v>0</v>
      </c>
      <c r="T19" s="368">
        <v>0</v>
      </c>
      <c r="U19" s="390">
        <v>0</v>
      </c>
      <c r="V19" s="307"/>
    </row>
    <row r="20" spans="1:22">
      <c r="A20" s="307"/>
      <c r="B20" s="308">
        <v>4</v>
      </c>
      <c r="C20" s="315" t="s">
        <v>456</v>
      </c>
      <c r="D20" s="309">
        <v>0</v>
      </c>
      <c r="E20" s="379">
        <f t="shared" si="1"/>
        <v>188332</v>
      </c>
      <c r="F20" s="310">
        <v>0</v>
      </c>
      <c r="G20" s="383">
        <f t="shared" si="2"/>
        <v>188332</v>
      </c>
      <c r="H20" s="373">
        <f t="shared" si="3"/>
        <v>44082</v>
      </c>
      <c r="I20" s="316">
        <v>1.3</v>
      </c>
      <c r="J20" s="376">
        <f t="shared" si="4"/>
        <v>33909.230769230766</v>
      </c>
      <c r="K20" s="338">
        <f>'Hospital Program TARGET_DESIGN'!AO57/13</f>
        <v>33909.230769230766</v>
      </c>
      <c r="L20" s="373">
        <f t="shared" si="5"/>
        <v>144250</v>
      </c>
      <c r="M20" s="316">
        <v>1.25</v>
      </c>
      <c r="N20" s="376">
        <f t="shared" si="0"/>
        <v>115400</v>
      </c>
      <c r="O20" s="343">
        <v>0</v>
      </c>
      <c r="P20" s="348">
        <f>'Hospital Program TARGET_DESIGN'!AO16+'Hospital Program TARGET_DESIGN'!AO17+'Hospital Program TARGET_DESIGN'!AO18+'Hospital Program TARGET_DESIGN'!AO37</f>
        <v>115400</v>
      </c>
      <c r="Q20" s="353">
        <v>0</v>
      </c>
      <c r="R20" s="358">
        <v>0</v>
      </c>
      <c r="S20" s="363">
        <v>0</v>
      </c>
      <c r="T20" s="368">
        <v>0</v>
      </c>
      <c r="U20" s="390">
        <v>0</v>
      </c>
      <c r="V20" s="307"/>
    </row>
    <row r="21" spans="1:22">
      <c r="A21" s="307"/>
      <c r="B21" s="308">
        <v>3</v>
      </c>
      <c r="C21" s="315" t="s">
        <v>134</v>
      </c>
      <c r="D21" s="309">
        <v>0</v>
      </c>
      <c r="E21" s="379">
        <f>H21+F21+L21</f>
        <v>167250</v>
      </c>
      <c r="F21" s="310">
        <v>0</v>
      </c>
      <c r="G21" s="383">
        <f>SUM(H21,L21)</f>
        <v>167250</v>
      </c>
      <c r="H21" s="373">
        <f t="shared" si="3"/>
        <v>0</v>
      </c>
      <c r="I21" s="316">
        <v>1.3</v>
      </c>
      <c r="J21" s="376">
        <f t="shared" si="4"/>
        <v>0</v>
      </c>
      <c r="K21" s="338">
        <v>0</v>
      </c>
      <c r="L21" s="373">
        <f>(SUM(U21,O21,P21,Q21,R21,S21,T21)*M21)</f>
        <v>167250</v>
      </c>
      <c r="M21" s="316">
        <v>1.25</v>
      </c>
      <c r="N21" s="376">
        <f t="shared" si="0"/>
        <v>133800</v>
      </c>
      <c r="O21" s="343">
        <v>0</v>
      </c>
      <c r="P21" s="348">
        <f>'Hospital Program TARGET_DESIGN'!AO21+'Hospital Program TARGET_DESIGN'!AO22+'Hospital Program TARGET_DESIGN'!AO23+'Hospital Program TARGET_DESIGN'!AO24+'Hospital Program TARGET_DESIGN'!AO25+'Hospital Program TARGET_DESIGN'!AO26+'Hospital Program TARGET_DESIGN'!AO33+'Hospital Program TARGET_DESIGN'!AO29+'Hospital Program TARGET_DESIGN'!AO30+'Hospital Program TARGET_DESIGN'!AO31+'Hospital Program TARGET_DESIGN'!AO32+'Hospital Program TARGET_DESIGN'!AO41+'Hospital Program TARGET_DESIGN'!AO50</f>
        <v>133800</v>
      </c>
      <c r="Q21" s="353">
        <v>0</v>
      </c>
      <c r="R21" s="358">
        <v>0</v>
      </c>
      <c r="S21" s="363">
        <v>0</v>
      </c>
      <c r="T21" s="368">
        <v>0</v>
      </c>
      <c r="U21" s="390">
        <v>0</v>
      </c>
      <c r="V21" s="307"/>
    </row>
    <row r="22" spans="1:22">
      <c r="A22" s="307"/>
      <c r="B22" s="308">
        <v>2</v>
      </c>
      <c r="C22" s="315" t="s">
        <v>401</v>
      </c>
      <c r="D22" s="309">
        <v>0</v>
      </c>
      <c r="E22" s="379">
        <f>H22+F22+L22</f>
        <v>163750</v>
      </c>
      <c r="F22" s="310">
        <v>0</v>
      </c>
      <c r="G22" s="383">
        <f>SUM(H22,L22)</f>
        <v>163750</v>
      </c>
      <c r="H22" s="373">
        <f t="shared" si="3"/>
        <v>0</v>
      </c>
      <c r="I22" s="316">
        <v>1.3</v>
      </c>
      <c r="J22" s="376">
        <f t="shared" si="4"/>
        <v>0</v>
      </c>
      <c r="K22" s="338">
        <v>0</v>
      </c>
      <c r="L22" s="373">
        <f>(SUM(U22,O22,P22,Q22,R22,S22,T22)*M22)</f>
        <v>163750</v>
      </c>
      <c r="M22" s="316">
        <v>1.25</v>
      </c>
      <c r="N22" s="376">
        <f t="shared" si="0"/>
        <v>131000</v>
      </c>
      <c r="O22" s="343">
        <v>0</v>
      </c>
      <c r="P22" s="348">
        <v>0</v>
      </c>
      <c r="Q22" s="353">
        <f>'Hospital Program TARGET_DESIGN'!AO113+'Hospital Program TARGET_DESIGN'!AO114+'Hospital Program TARGET_DESIGN'!AO119+'Hospital Program TARGET_DESIGN'!AO125+'Hospital Program TARGET_DESIGN'!AO126+'Hospital Program TARGET_DESIGN'!AO127+'Hospital Program TARGET_DESIGN'!AO118+'Hospital Program TARGET_DESIGN'!AO120+'Hospital Program TARGET_DESIGN'!AO121</f>
        <v>37650</v>
      </c>
      <c r="R22" s="358">
        <f>'Hospital Program TARGET_DESIGN'!AO81+'Hospital Program TARGET_DESIGN'!AO82+'Hospital Program TARGET_DESIGN'!AO85+'Hospital Program TARGET_DESIGN'!AO88+'Hospital Program TARGET_DESIGN'!AO89+'Hospital Program TARGET_DESIGN'!AO90+'Hospital Program TARGET_DESIGN'!AO91</f>
        <v>86150</v>
      </c>
      <c r="S22" s="363">
        <f>'Hospital Program TARGET_DESIGN'!AO144</f>
        <v>7200</v>
      </c>
      <c r="T22" s="368">
        <v>0</v>
      </c>
      <c r="U22" s="390">
        <v>0</v>
      </c>
      <c r="V22" s="307"/>
    </row>
    <row r="23" spans="1:22">
      <c r="A23" s="307"/>
      <c r="B23" s="973">
        <v>1</v>
      </c>
      <c r="C23" s="974" t="s">
        <v>455</v>
      </c>
      <c r="D23" s="975">
        <v>40000</v>
      </c>
      <c r="E23" s="976" t="e">
        <f t="shared" si="1"/>
        <v>#REF!</v>
      </c>
      <c r="F23" s="977">
        <v>0</v>
      </c>
      <c r="G23" s="978" t="e">
        <f t="shared" si="2"/>
        <v>#REF!</v>
      </c>
      <c r="H23" s="979">
        <f t="shared" si="3"/>
        <v>0</v>
      </c>
      <c r="I23" s="980">
        <v>1.3</v>
      </c>
      <c r="J23" s="981">
        <f t="shared" si="4"/>
        <v>0</v>
      </c>
      <c r="K23" s="982">
        <v>0</v>
      </c>
      <c r="L23" s="979" t="e">
        <f t="shared" si="5"/>
        <v>#REF!</v>
      </c>
      <c r="M23" s="980">
        <v>1.25</v>
      </c>
      <c r="N23" s="981" t="e">
        <f t="shared" si="0"/>
        <v>#REF!</v>
      </c>
      <c r="O23" s="983">
        <f>'Hospital Program TARGET_DESIGN'!AO8+'Hospital Program TARGET_DESIGN'!AO9+'Hospital Program TARGET_DESIGN'!AO12</f>
        <v>73100</v>
      </c>
      <c r="P23" s="984">
        <v>0</v>
      </c>
      <c r="Q23" s="985">
        <f>'Hospital Program TARGET_DESIGN'!AO115</f>
        <v>3000</v>
      </c>
      <c r="R23" s="986">
        <f>'Hospital Program TARGET_DESIGN'!AO92+'Hospital Program TARGET_DESIGN'!AO84</f>
        <v>5700</v>
      </c>
      <c r="S23" s="987" t="e">
        <f>'Hospital Program TARGET_DESIGN'!AO132+'Hospital Program TARGET_DESIGN'!AO131+'Hospital Program TARGET_DESIGN'!AO143+'Hospital Program TARGET_DESIGN'!#REF!+'Hospital Program TARGET_DESIGN'!#REF!+'Hospital Program TARGET_DESIGN'!AO142+'Hospital Program TARGET_DESIGN'!AO156</f>
        <v>#REF!</v>
      </c>
      <c r="T23" s="988">
        <f>'Hospital Program TARGET_DESIGN'!AO96+'Hospital Program TARGET_DESIGN'!AO97+'Hospital Program TARGET_DESIGN'!AO98+'Hospital Program TARGET_DESIGN'!AO101+'Hospital Program TARGET_DESIGN'!AO102+'Hospital Program TARGET_DESIGN'!AO103+'Hospital Program TARGET_DESIGN'!AO106+'Hospital Program TARGET_DESIGN'!AO107+'Hospital Program TARGET_DESIGN'!AO108</f>
        <v>48620</v>
      </c>
      <c r="U23" s="1003">
        <v>31993</v>
      </c>
      <c r="V23" s="307"/>
    </row>
    <row r="24" spans="1:22">
      <c r="A24" s="307"/>
      <c r="B24" s="963" t="s">
        <v>127</v>
      </c>
      <c r="C24" s="964" t="s">
        <v>454</v>
      </c>
      <c r="D24" s="309">
        <v>0</v>
      </c>
      <c r="E24" s="379">
        <f t="shared" si="1"/>
        <v>97937.5</v>
      </c>
      <c r="F24" s="965">
        <v>18000</v>
      </c>
      <c r="G24" s="383">
        <f t="shared" si="2"/>
        <v>79937.5</v>
      </c>
      <c r="H24" s="373">
        <v>0</v>
      </c>
      <c r="I24" s="316">
        <v>1.3</v>
      </c>
      <c r="J24" s="376">
        <v>0</v>
      </c>
      <c r="K24" s="966">
        <v>0</v>
      </c>
      <c r="L24" s="373">
        <f>(SUM(U24,O24,P24,Q24,R24,S24,T24)*M24)</f>
        <v>79937.5</v>
      </c>
      <c r="M24" s="316">
        <v>1.25</v>
      </c>
      <c r="N24" s="376">
        <f t="shared" ref="N24" si="6">SUM(O24:AA24)</f>
        <v>63950</v>
      </c>
      <c r="O24" s="967">
        <v>0</v>
      </c>
      <c r="P24" s="968">
        <f>'Hospital Program TARGET_DESIGN'!AO53</f>
        <v>12000</v>
      </c>
      <c r="Q24" s="969">
        <v>0</v>
      </c>
      <c r="R24" s="970">
        <v>0</v>
      </c>
      <c r="S24" s="971">
        <f>'Hospital Program TARGET_DESIGN'!AO141+'Hospital Program TARGET_DESIGN'!AO146+'Hospital Program TARGET_DESIGN'!AO147+'Hospital Program TARGET_DESIGN'!AO150+'Hospital Program TARGET_DESIGN'!AO145+'Hospital Program TARGET_DESIGN'!AO153+'Hospital Program TARGET_DESIGN'!AO154+'Hospital Program TARGET_DESIGN'!AO155</f>
        <v>51950</v>
      </c>
      <c r="T24" s="972">
        <v>0</v>
      </c>
      <c r="U24" s="391">
        <v>0</v>
      </c>
      <c r="V24" s="307"/>
    </row>
    <row r="25" spans="1:22">
      <c r="A25" s="307"/>
      <c r="B25" s="317" t="s">
        <v>136</v>
      </c>
      <c r="C25" s="318" t="s">
        <v>135</v>
      </c>
      <c r="D25" s="309">
        <v>0</v>
      </c>
      <c r="E25" s="379">
        <f>H25+F25+L25</f>
        <v>40738</v>
      </c>
      <c r="F25" s="319">
        <v>40738</v>
      </c>
      <c r="G25" s="383">
        <v>0</v>
      </c>
      <c r="H25" s="373">
        <f t="shared" si="3"/>
        <v>0</v>
      </c>
      <c r="I25" s="316">
        <v>1.3</v>
      </c>
      <c r="J25" s="376">
        <f t="shared" si="4"/>
        <v>0</v>
      </c>
      <c r="K25" s="339">
        <v>0</v>
      </c>
      <c r="L25" s="373">
        <f t="shared" si="5"/>
        <v>0</v>
      </c>
      <c r="M25" s="316">
        <v>1.25</v>
      </c>
      <c r="N25" s="376">
        <v>0</v>
      </c>
      <c r="O25" s="344">
        <v>0</v>
      </c>
      <c r="P25" s="349">
        <v>0</v>
      </c>
      <c r="Q25" s="354">
        <v>0</v>
      </c>
      <c r="R25" s="359">
        <v>0</v>
      </c>
      <c r="S25" s="364">
        <v>0</v>
      </c>
      <c r="T25" s="369">
        <v>0</v>
      </c>
      <c r="U25" s="391">
        <v>0</v>
      </c>
      <c r="V25" s="307"/>
    </row>
    <row r="26" spans="1:22" ht="13.8" thickBot="1">
      <c r="A26" s="301"/>
      <c r="B26" s="323"/>
      <c r="C26" s="324" t="s">
        <v>128</v>
      </c>
      <c r="D26" s="325">
        <f t="shared" ref="D26" si="7">SUM(D8:D25)</f>
        <v>40000</v>
      </c>
      <c r="E26" s="380" t="e">
        <f>SUM(E8:E25)</f>
        <v>#REF!</v>
      </c>
      <c r="F26" s="326">
        <f>SUM(F8:F25)</f>
        <v>234738</v>
      </c>
      <c r="G26" s="384" t="e">
        <f>SUM(G8:G25)</f>
        <v>#REF!</v>
      </c>
      <c r="H26" s="374" t="e">
        <f>SUM(H8:H25)</f>
        <v>#REF!</v>
      </c>
      <c r="I26" s="327"/>
      <c r="J26" s="377" t="e">
        <f t="shared" ref="J26:K26" si="8">SUM(J8:J25)</f>
        <v>#REF!</v>
      </c>
      <c r="K26" s="340" t="e">
        <f t="shared" si="8"/>
        <v>#REF!</v>
      </c>
      <c r="L26" s="374" t="e">
        <f>SUM(L8:L25)</f>
        <v>#REF!</v>
      </c>
      <c r="M26" s="327"/>
      <c r="N26" s="377" t="e">
        <f t="shared" ref="N26:U26" si="9">SUM(N8:N25)</f>
        <v>#REF!</v>
      </c>
      <c r="O26" s="345">
        <f t="shared" si="9"/>
        <v>73100</v>
      </c>
      <c r="P26" s="350">
        <f t="shared" si="9"/>
        <v>301200</v>
      </c>
      <c r="Q26" s="355">
        <f t="shared" si="9"/>
        <v>40650</v>
      </c>
      <c r="R26" s="360">
        <f t="shared" si="9"/>
        <v>91850</v>
      </c>
      <c r="S26" s="365" t="e">
        <f t="shared" si="9"/>
        <v>#REF!</v>
      </c>
      <c r="T26" s="370">
        <f t="shared" si="9"/>
        <v>48620</v>
      </c>
      <c r="U26" s="392">
        <f t="shared" si="9"/>
        <v>31993</v>
      </c>
      <c r="V26" s="301"/>
    </row>
    <row r="27" spans="1:22" ht="13.8" thickBot="1">
      <c r="A27" s="301"/>
      <c r="B27" s="297"/>
      <c r="C27" s="328" t="s">
        <v>129</v>
      </c>
      <c r="D27" s="329"/>
      <c r="E27" s="394">
        <v>1.5</v>
      </c>
      <c r="F27" s="301"/>
      <c r="G27" s="301"/>
      <c r="H27" s="623"/>
      <c r="I27" s="301"/>
      <c r="J27" s="301"/>
      <c r="K27" s="330"/>
      <c r="L27" s="623"/>
      <c r="M27" s="301"/>
      <c r="N27" s="301"/>
      <c r="O27" s="330"/>
      <c r="P27" s="330"/>
      <c r="Q27" s="330"/>
      <c r="R27" s="330"/>
      <c r="S27" s="330"/>
      <c r="T27" s="330"/>
      <c r="U27" s="330"/>
      <c r="V27" s="301"/>
    </row>
    <row r="28" spans="1:22" ht="13.8" thickBot="1">
      <c r="A28" s="301"/>
      <c r="B28" s="297"/>
      <c r="C28" s="331" t="s">
        <v>184</v>
      </c>
      <c r="D28" s="332" t="s">
        <v>0</v>
      </c>
      <c r="E28" s="381" t="e">
        <f>K28+O28+P28+Q28+R28+S28+T28</f>
        <v>#REF!</v>
      </c>
      <c r="F28" s="1010" t="e">
        <f>F26/SUM(J26,N26)</f>
        <v>#REF!</v>
      </c>
      <c r="G28" s="611"/>
      <c r="H28" s="610"/>
      <c r="I28" s="823">
        <v>1.5</v>
      </c>
      <c r="J28" s="611"/>
      <c r="K28" s="341" t="e">
        <f>K26*I28</f>
        <v>#REF!</v>
      </c>
      <c r="L28" s="610"/>
      <c r="M28" s="1001">
        <v>1.5</v>
      </c>
      <c r="N28" s="607"/>
      <c r="O28" s="346">
        <f>O26*M28</f>
        <v>109650</v>
      </c>
      <c r="P28" s="351">
        <f>P26*M28</f>
        <v>451800</v>
      </c>
      <c r="Q28" s="356">
        <f>Q26*M28</f>
        <v>60975</v>
      </c>
      <c r="R28" s="361">
        <f>R26*M28</f>
        <v>137775</v>
      </c>
      <c r="S28" s="366" t="e">
        <f>S26*M28</f>
        <v>#REF!</v>
      </c>
      <c r="T28" s="371">
        <f>T26*M28</f>
        <v>72930</v>
      </c>
      <c r="U28" s="393">
        <f>U26*M28</f>
        <v>47989.5</v>
      </c>
      <c r="V28" s="301"/>
    </row>
    <row r="29" spans="1:22" ht="8.1" customHeight="1">
      <c r="A29" s="292"/>
      <c r="B29" s="293"/>
      <c r="C29" s="293" t="s">
        <v>0</v>
      </c>
      <c r="D29" s="294" t="s">
        <v>0</v>
      </c>
      <c r="E29" s="293"/>
      <c r="F29" s="294"/>
      <c r="G29" s="294"/>
      <c r="H29" s="624"/>
      <c r="I29" s="333"/>
      <c r="J29" s="292"/>
      <c r="K29" s="336"/>
      <c r="L29" s="624"/>
      <c r="M29" s="292"/>
      <c r="N29" s="295"/>
      <c r="O29" s="294"/>
      <c r="P29" s="294"/>
      <c r="Q29" s="294"/>
      <c r="R29" s="294"/>
      <c r="S29" s="292"/>
      <c r="T29" s="334" t="s">
        <v>0</v>
      </c>
      <c r="U29" s="335"/>
      <c r="V29" s="292"/>
    </row>
    <row r="30" spans="1:22" ht="8.1" customHeight="1" thickBot="1">
      <c r="A30" s="292"/>
      <c r="B30" s="293"/>
      <c r="C30" s="293"/>
      <c r="D30" s="294"/>
      <c r="E30" s="293"/>
      <c r="F30" s="294"/>
      <c r="G30" s="294"/>
      <c r="H30" s="624"/>
      <c r="I30" s="333"/>
      <c r="J30" s="292"/>
      <c r="K30" s="336"/>
      <c r="L30" s="624"/>
      <c r="M30" s="292"/>
      <c r="N30" s="295"/>
      <c r="O30" s="294"/>
      <c r="P30" s="294"/>
      <c r="Q30" s="294"/>
      <c r="R30" s="294"/>
      <c r="S30" s="292"/>
      <c r="T30" s="334"/>
      <c r="U30" s="335"/>
      <c r="V30" s="292"/>
    </row>
    <row r="31" spans="1:22" ht="13.8" thickBot="1">
      <c r="A31" s="292"/>
      <c r="B31" s="293"/>
      <c r="C31" s="1200" t="s">
        <v>176</v>
      </c>
      <c r="D31" s="1201"/>
      <c r="E31" s="1201"/>
      <c r="F31" s="1201"/>
      <c r="G31" s="1202"/>
      <c r="H31" s="625"/>
      <c r="I31" s="519"/>
      <c r="J31" s="608" t="s">
        <v>173</v>
      </c>
      <c r="K31" s="621">
        <f>'Hospital Program TARGET_DESIGN'!M57</f>
        <v>435240</v>
      </c>
      <c r="L31" s="625"/>
      <c r="M31" s="520"/>
      <c r="N31" s="608" t="s">
        <v>173</v>
      </c>
      <c r="O31" s="525">
        <f>'Hospital Program TARGET_DESIGN'!M6</f>
        <v>73100</v>
      </c>
      <c r="P31" s="526">
        <f>'Hospital Program TARGET_DESIGN'!M14</f>
        <v>300700</v>
      </c>
      <c r="Q31" s="527">
        <f>'Hospital Program TARGET_DESIGN'!M111</f>
        <v>40650</v>
      </c>
      <c r="R31" s="528">
        <f>'Hospital Program TARGET_DESIGN'!M79</f>
        <v>91850</v>
      </c>
      <c r="S31" s="521">
        <f>'Hospital Program TARGET_DESIGN'!M129</f>
        <v>84450</v>
      </c>
      <c r="T31" s="524">
        <f>'Hospital Program TARGET_DESIGN'!M94</f>
        <v>48620</v>
      </c>
      <c r="U31" s="619">
        <f>'Hospital Program TARGET_DESIGN'!M158</f>
        <v>0</v>
      </c>
      <c r="V31" s="292"/>
    </row>
    <row r="32" spans="1:22" ht="13.8" thickBot="1">
      <c r="A32" s="292"/>
      <c r="B32" s="293"/>
      <c r="C32" s="1203"/>
      <c r="D32" s="1204"/>
      <c r="E32" s="1204"/>
      <c r="F32" s="1204"/>
      <c r="G32" s="1205"/>
      <c r="H32" s="626"/>
      <c r="I32" s="522"/>
      <c r="J32" s="609" t="s">
        <v>172</v>
      </c>
      <c r="K32" s="622" t="e">
        <f>K26-K31</f>
        <v>#REF!</v>
      </c>
      <c r="L32" s="626"/>
      <c r="M32" s="523"/>
      <c r="N32" s="609" t="s">
        <v>172</v>
      </c>
      <c r="O32" s="590">
        <f t="shared" ref="O32:U32" si="10">O26-O31</f>
        <v>0</v>
      </c>
      <c r="P32" s="589">
        <f t="shared" si="10"/>
        <v>500</v>
      </c>
      <c r="Q32" s="588">
        <f t="shared" si="10"/>
        <v>0</v>
      </c>
      <c r="R32" s="591">
        <f t="shared" si="10"/>
        <v>0</v>
      </c>
      <c r="S32" s="592" t="e">
        <f t="shared" si="10"/>
        <v>#REF!</v>
      </c>
      <c r="T32" s="593">
        <f t="shared" si="10"/>
        <v>0</v>
      </c>
      <c r="U32" s="529">
        <f t="shared" si="10"/>
        <v>31993</v>
      </c>
      <c r="V32" s="292"/>
    </row>
    <row r="33" spans="2:23" ht="8.1" customHeight="1" thickBot="1">
      <c r="B33" s="395"/>
      <c r="C33" s="293"/>
      <c r="D33" s="396"/>
      <c r="E33" s="293"/>
      <c r="F33" s="292"/>
      <c r="G33" s="292"/>
      <c r="H33" s="628" t="s">
        <v>0</v>
      </c>
      <c r="I33" s="397"/>
      <c r="J33" s="398"/>
      <c r="K33" s="426"/>
      <c r="L33" s="627"/>
      <c r="M33" s="295"/>
      <c r="N33" s="295"/>
      <c r="O33" s="329"/>
      <c r="P33" s="329"/>
      <c r="Q33" s="329"/>
      <c r="R33" s="329"/>
      <c r="S33" s="329"/>
      <c r="T33" s="329"/>
      <c r="U33" s="329"/>
      <c r="V33" s="329"/>
      <c r="W33" s="329"/>
    </row>
    <row r="34" spans="2:23" ht="13.8" thickBot="1">
      <c r="B34" s="395"/>
      <c r="C34" s="1200" t="s">
        <v>177</v>
      </c>
      <c r="D34" s="1201"/>
      <c r="E34" s="1201"/>
      <c r="F34" s="1201"/>
      <c r="G34" s="1202"/>
      <c r="H34" s="625"/>
      <c r="I34" s="1002">
        <v>1.3</v>
      </c>
      <c r="J34" s="607" t="s">
        <v>174</v>
      </c>
      <c r="K34" s="621">
        <f>'Hospital Program TARGET_DESIGN'!T57</f>
        <v>478764.00000000006</v>
      </c>
      <c r="L34" s="625"/>
      <c r="M34" s="620">
        <v>1.25</v>
      </c>
      <c r="N34" s="607" t="s">
        <v>174</v>
      </c>
      <c r="O34" s="612">
        <f>'Hospital Program TARGET_DESIGN'!T6</f>
        <v>80410</v>
      </c>
      <c r="P34" s="613">
        <f>'Hospital Program TARGET_DESIGN'!T14</f>
        <v>330770</v>
      </c>
      <c r="Q34" s="614">
        <f>'Hospital Program TARGET_DESIGN'!T111</f>
        <v>44715</v>
      </c>
      <c r="R34" s="615">
        <f>'Hospital Program TARGET_DESIGN'!T79</f>
        <v>101035.00000000001</v>
      </c>
      <c r="S34" s="616">
        <f>'Hospital Program TARGET_DESIGN'!T129</f>
        <v>92895.000000000015</v>
      </c>
      <c r="T34" s="617">
        <f>'Hospital Program TARGET_DESIGN'!T94</f>
        <v>53482.000000000007</v>
      </c>
      <c r="U34" s="618">
        <f>'Hospital Program TARGET_DESIGN'!T158</f>
        <v>0</v>
      </c>
      <c r="V34" s="329"/>
      <c r="W34" s="329"/>
    </row>
    <row r="35" spans="2:23" ht="13.8" thickBot="1">
      <c r="B35" s="395"/>
      <c r="C35" s="1203"/>
      <c r="D35" s="1204"/>
      <c r="E35" s="1204"/>
      <c r="F35" s="1204"/>
      <c r="G35" s="1205"/>
      <c r="H35" s="626"/>
      <c r="I35" s="523"/>
      <c r="J35" s="609" t="s">
        <v>175</v>
      </c>
      <c r="K35" s="622" t="e">
        <f>K34-K28</f>
        <v>#REF!</v>
      </c>
      <c r="L35" s="626"/>
      <c r="M35" s="523"/>
      <c r="N35" s="609" t="s">
        <v>175</v>
      </c>
      <c r="O35" s="590">
        <f t="shared" ref="O35:U35" si="11">O34-O28</f>
        <v>-29240</v>
      </c>
      <c r="P35" s="589">
        <f t="shared" si="11"/>
        <v>-121030</v>
      </c>
      <c r="Q35" s="588">
        <f t="shared" si="11"/>
        <v>-16260</v>
      </c>
      <c r="R35" s="591">
        <f t="shared" si="11"/>
        <v>-36739.999999999985</v>
      </c>
      <c r="S35" s="592" t="e">
        <f t="shared" si="11"/>
        <v>#REF!</v>
      </c>
      <c r="T35" s="593">
        <f t="shared" si="11"/>
        <v>-19447.999999999993</v>
      </c>
      <c r="U35" s="529">
        <f t="shared" si="11"/>
        <v>-47989.5</v>
      </c>
      <c r="V35" s="329"/>
      <c r="W35" s="329"/>
    </row>
    <row r="36" spans="2:23">
      <c r="B36" s="395"/>
      <c r="C36" s="293"/>
      <c r="D36" s="396"/>
      <c r="E36" s="293"/>
      <c r="F36" s="292"/>
      <c r="G36" s="292"/>
      <c r="H36" s="292"/>
      <c r="I36" s="329"/>
      <c r="J36" s="329"/>
      <c r="K36" s="329"/>
      <c r="L36" s="329"/>
      <c r="M36" s="329"/>
      <c r="N36" s="329"/>
      <c r="O36" s="329"/>
      <c r="P36" s="329"/>
      <c r="Q36" s="329"/>
      <c r="R36" s="329"/>
      <c r="S36" s="329"/>
      <c r="T36" s="329"/>
      <c r="U36" s="329"/>
      <c r="V36" s="329"/>
      <c r="W36" s="329"/>
    </row>
    <row r="37" spans="2:23">
      <c r="B37" s="395"/>
      <c r="C37" s="293"/>
      <c r="D37" s="396"/>
      <c r="E37" s="293"/>
      <c r="F37" s="292"/>
      <c r="G37" s="292"/>
      <c r="H37" s="292"/>
      <c r="I37" s="329"/>
      <c r="J37" s="329"/>
      <c r="K37" s="329"/>
      <c r="L37" s="329"/>
      <c r="M37" s="329"/>
      <c r="N37" s="329"/>
      <c r="O37" s="329"/>
      <c r="P37" s="329"/>
      <c r="Q37" s="329"/>
      <c r="R37" s="329"/>
      <c r="S37" s="329"/>
      <c r="T37" s="329"/>
      <c r="U37" s="329"/>
      <c r="V37" s="329"/>
      <c r="W37" s="329"/>
    </row>
    <row r="38" spans="2:23">
      <c r="B38" s="395"/>
      <c r="C38" s="293"/>
      <c r="D38" s="396"/>
      <c r="E38" s="293"/>
      <c r="F38" s="292"/>
      <c r="G38" s="292"/>
      <c r="H38" s="292"/>
      <c r="I38" s="329"/>
      <c r="J38" s="329"/>
      <c r="K38" s="329"/>
      <c r="L38" s="329"/>
      <c r="M38" s="329"/>
      <c r="N38" s="329"/>
      <c r="O38" s="329"/>
      <c r="P38" s="329"/>
      <c r="Q38" s="329"/>
      <c r="R38" s="329"/>
      <c r="S38" s="329"/>
      <c r="T38" s="329"/>
      <c r="U38" s="329"/>
      <c r="V38" s="329"/>
      <c r="W38" s="329"/>
    </row>
    <row r="39" spans="2:23" ht="17.399999999999999" thickBot="1">
      <c r="B39" s="399" t="s">
        <v>0</v>
      </c>
      <c r="C39" s="293"/>
      <c r="D39" s="293"/>
      <c r="E39" s="293"/>
      <c r="F39" s="400"/>
      <c r="G39" s="400"/>
      <c r="H39" s="400"/>
      <c r="I39" s="400"/>
      <c r="J39" s="292"/>
      <c r="K39" s="329"/>
      <c r="L39" s="329"/>
      <c r="M39" s="400"/>
      <c r="N39" s="329"/>
      <c r="O39" s="292"/>
      <c r="P39" s="329"/>
      <c r="Q39" s="329"/>
      <c r="R39" s="329"/>
      <c r="S39" s="329"/>
      <c r="T39" s="329"/>
      <c r="U39" s="329"/>
      <c r="V39" s="329"/>
      <c r="W39" s="329"/>
    </row>
    <row r="40" spans="2:23" ht="17.399999999999999" thickBot="1">
      <c r="B40" s="401" t="s">
        <v>80</v>
      </c>
      <c r="C40" s="401"/>
      <c r="D40" s="402"/>
      <c r="E40" s="402"/>
      <c r="F40" s="403" t="s">
        <v>110</v>
      </c>
      <c r="G40" s="403"/>
      <c r="H40" s="404" t="s">
        <v>139</v>
      </c>
      <c r="I40" s="405"/>
      <c r="J40" s="405"/>
      <c r="K40" s="329"/>
      <c r="L40" s="329"/>
      <c r="M40" s="405"/>
      <c r="N40" s="329"/>
      <c r="O40" s="292"/>
      <c r="P40" s="329"/>
      <c r="Q40" s="405"/>
      <c r="R40" s="405"/>
      <c r="S40" s="405"/>
      <c r="T40" s="405"/>
      <c r="U40" s="405"/>
      <c r="V40" s="405"/>
      <c r="W40" s="292"/>
    </row>
    <row r="41" spans="2:23" ht="39.6">
      <c r="B41" s="302" t="s">
        <v>106</v>
      </c>
      <c r="C41" s="303" t="s">
        <v>107</v>
      </c>
      <c r="D41" s="406" t="s">
        <v>108</v>
      </c>
      <c r="E41" s="382" t="s">
        <v>109</v>
      </c>
      <c r="F41" s="407" t="s">
        <v>110</v>
      </c>
      <c r="G41" s="408"/>
      <c r="H41" s="409" t="s">
        <v>140</v>
      </c>
      <c r="I41" s="405"/>
      <c r="J41" s="405"/>
      <c r="K41" s="329"/>
      <c r="L41" s="329"/>
      <c r="M41" s="292"/>
      <c r="N41" s="329"/>
      <c r="O41" s="301"/>
      <c r="P41" s="329"/>
      <c r="Q41" s="405"/>
      <c r="R41" s="405"/>
      <c r="S41" s="405"/>
      <c r="T41" s="405"/>
      <c r="U41" s="405"/>
      <c r="V41" s="405"/>
      <c r="W41" s="292"/>
    </row>
    <row r="42" spans="2:23">
      <c r="B42" s="308"/>
      <c r="C42" s="315"/>
      <c r="D42" s="410">
        <v>0</v>
      </c>
      <c r="E42" s="383">
        <v>0</v>
      </c>
      <c r="F42" s="411">
        <f>E42</f>
        <v>0</v>
      </c>
      <c r="G42" s="412"/>
      <c r="H42" s="413">
        <v>0</v>
      </c>
      <c r="I42" s="405"/>
      <c r="J42" s="405"/>
      <c r="K42" s="405"/>
      <c r="L42" s="405"/>
      <c r="M42" s="292"/>
      <c r="N42" s="405"/>
      <c r="O42" s="307"/>
      <c r="P42" s="405"/>
      <c r="Q42" s="405"/>
      <c r="R42" s="405"/>
      <c r="S42" s="405"/>
      <c r="T42" s="405"/>
      <c r="U42" s="405"/>
      <c r="V42" s="405"/>
      <c r="W42" s="292"/>
    </row>
    <row r="43" spans="2:23">
      <c r="B43" s="308" t="s">
        <v>126</v>
      </c>
      <c r="C43" s="315" t="s">
        <v>141</v>
      </c>
      <c r="D43" s="410">
        <v>0</v>
      </c>
      <c r="E43" s="383">
        <v>10000</v>
      </c>
      <c r="F43" s="414">
        <f>E43</f>
        <v>10000</v>
      </c>
      <c r="G43" s="412"/>
      <c r="H43" s="413">
        <v>0</v>
      </c>
      <c r="I43" s="405"/>
      <c r="J43" s="405"/>
      <c r="K43" s="405"/>
      <c r="L43" s="405"/>
      <c r="M43" s="292"/>
      <c r="N43" s="405"/>
      <c r="O43" s="307"/>
      <c r="P43" s="405"/>
      <c r="Q43" s="405"/>
      <c r="R43" s="405"/>
      <c r="S43" s="405"/>
      <c r="T43" s="405"/>
      <c r="U43" s="405"/>
      <c r="V43" s="405"/>
      <c r="W43" s="292"/>
    </row>
    <row r="44" spans="2:23">
      <c r="B44" s="308">
        <v>12</v>
      </c>
      <c r="C44" s="315" t="s">
        <v>181</v>
      </c>
      <c r="D44" s="410">
        <v>0</v>
      </c>
      <c r="E44" s="383">
        <v>10000</v>
      </c>
      <c r="F44" s="414">
        <f>E44</f>
        <v>10000</v>
      </c>
      <c r="G44" s="412"/>
      <c r="H44" s="413">
        <v>0</v>
      </c>
      <c r="I44" s="405"/>
      <c r="J44" s="405"/>
      <c r="K44" s="405"/>
      <c r="L44" s="405"/>
      <c r="M44" s="292"/>
      <c r="N44" s="405"/>
      <c r="O44" s="307"/>
      <c r="P44" s="405"/>
      <c r="Q44" s="405"/>
      <c r="R44" s="405"/>
      <c r="S44" s="405"/>
      <c r="T44" s="405"/>
      <c r="U44" s="405"/>
      <c r="V44" s="405"/>
      <c r="W44" s="292"/>
    </row>
    <row r="45" spans="2:23">
      <c r="B45" s="308">
        <v>1</v>
      </c>
      <c r="C45" s="315" t="s">
        <v>182</v>
      </c>
      <c r="D45" s="410">
        <v>0</v>
      </c>
      <c r="E45" s="383">
        <v>35000</v>
      </c>
      <c r="F45" s="414">
        <f>E45</f>
        <v>35000</v>
      </c>
      <c r="G45" s="412"/>
      <c r="H45" s="413">
        <v>0</v>
      </c>
      <c r="I45" s="405"/>
      <c r="J45" s="405"/>
      <c r="K45" s="405"/>
      <c r="L45" s="405"/>
      <c r="M45" s="292"/>
      <c r="N45" s="405"/>
      <c r="O45" s="307"/>
      <c r="P45" s="405"/>
      <c r="Q45" s="405"/>
      <c r="R45" s="405"/>
      <c r="S45" s="405"/>
      <c r="T45" s="405"/>
      <c r="U45" s="405"/>
      <c r="V45" s="405"/>
      <c r="W45" s="292"/>
    </row>
    <row r="46" spans="2:23">
      <c r="B46" s="308" t="s">
        <v>127</v>
      </c>
      <c r="C46" s="315" t="s">
        <v>183</v>
      </c>
      <c r="D46" s="410">
        <v>0</v>
      </c>
      <c r="E46" s="383">
        <v>35000</v>
      </c>
      <c r="F46" s="414">
        <f>E46</f>
        <v>35000</v>
      </c>
      <c r="G46" s="412"/>
      <c r="H46" s="413">
        <v>0</v>
      </c>
      <c r="I46" s="405"/>
      <c r="J46" s="405"/>
      <c r="K46" s="405"/>
      <c r="L46" s="405"/>
      <c r="M46" s="292"/>
      <c r="N46" s="405"/>
      <c r="O46" s="307"/>
      <c r="P46" s="405"/>
      <c r="Q46" s="405"/>
      <c r="R46" s="405"/>
      <c r="S46" s="405"/>
      <c r="T46" s="405"/>
      <c r="U46" s="405"/>
      <c r="V46" s="405"/>
      <c r="W46" s="292"/>
    </row>
    <row r="47" spans="2:23" ht="13.8" thickBot="1">
      <c r="B47" s="323"/>
      <c r="C47" s="324" t="s">
        <v>128</v>
      </c>
      <c r="D47" s="415">
        <f>SUM(D42:D46)</f>
        <v>0</v>
      </c>
      <c r="E47" s="629">
        <f>SUM(E42:E46)</f>
        <v>90000</v>
      </c>
      <c r="F47" s="630">
        <f t="shared" ref="F47:H47" si="12">SUM(F42:F46)</f>
        <v>90000</v>
      </c>
      <c r="G47" s="416"/>
      <c r="H47" s="417">
        <f t="shared" si="12"/>
        <v>0</v>
      </c>
      <c r="I47" s="405"/>
      <c r="J47" s="405"/>
      <c r="K47" s="405"/>
      <c r="L47" s="405"/>
      <c r="M47" s="292"/>
      <c r="N47" s="405"/>
      <c r="O47" s="301"/>
      <c r="P47" s="405"/>
      <c r="Q47" s="405"/>
      <c r="R47" s="405"/>
      <c r="S47" s="405"/>
      <c r="T47" s="405"/>
      <c r="U47" s="405"/>
      <c r="V47" s="405"/>
      <c r="W47" s="292"/>
    </row>
    <row r="48" spans="2:23">
      <c r="B48" s="293"/>
      <c r="C48" s="418"/>
      <c r="D48" s="330"/>
      <c r="E48" s="330"/>
      <c r="F48" s="330"/>
      <c r="G48" s="330"/>
      <c r="H48" s="330"/>
      <c r="I48" s="405"/>
      <c r="J48" s="405"/>
      <c r="K48" s="405"/>
      <c r="L48" s="405"/>
      <c r="M48" s="301"/>
      <c r="N48" s="405"/>
      <c r="O48" s="292"/>
      <c r="P48" s="405"/>
      <c r="Q48" s="405"/>
      <c r="R48" s="405"/>
      <c r="S48" s="405"/>
      <c r="T48" s="405"/>
      <c r="U48" s="405"/>
      <c r="V48" s="405"/>
      <c r="W48" s="405"/>
    </row>
    <row r="49" spans="2:23">
      <c r="B49" s="293"/>
      <c r="C49" s="293"/>
      <c r="D49" s="294"/>
      <c r="E49" s="294"/>
      <c r="F49" s="295"/>
      <c r="G49" s="295"/>
      <c r="H49" s="295"/>
      <c r="I49" s="295"/>
      <c r="J49" s="329"/>
      <c r="K49" s="329"/>
      <c r="L49" s="329"/>
      <c r="M49" s="295"/>
      <c r="N49" s="329"/>
      <c r="O49" s="292"/>
      <c r="P49" s="329"/>
      <c r="Q49" s="329"/>
      <c r="R49" s="329"/>
      <c r="S49" s="329"/>
      <c r="T49" s="329"/>
      <c r="U49" s="329"/>
      <c r="V49" s="329"/>
      <c r="W49" s="329"/>
    </row>
    <row r="50" spans="2:23" ht="13.8" thickBot="1">
      <c r="B50" s="293"/>
      <c r="C50" s="293"/>
      <c r="D50" s="294"/>
      <c r="E50" s="294"/>
      <c r="F50" s="295"/>
      <c r="G50" s="295"/>
      <c r="H50" s="295"/>
      <c r="I50" s="329"/>
      <c r="J50" s="329"/>
      <c r="K50" s="329"/>
      <c r="L50" s="329"/>
      <c r="M50" s="329"/>
      <c r="N50" s="329"/>
      <c r="O50" s="292"/>
      <c r="P50" s="329"/>
      <c r="Q50" s="329"/>
      <c r="R50" s="329"/>
      <c r="S50" s="329"/>
      <c r="T50" s="329"/>
      <c r="U50" s="329"/>
      <c r="V50" s="329"/>
      <c r="W50" s="329"/>
    </row>
    <row r="51" spans="2:23" ht="17.399999999999999" thickBot="1">
      <c r="B51" s="401" t="s">
        <v>157</v>
      </c>
      <c r="C51" s="401"/>
      <c r="D51" s="402"/>
      <c r="E51" s="402"/>
      <c r="F51" s="403" t="s">
        <v>110</v>
      </c>
      <c r="G51" s="403"/>
      <c r="H51" s="404" t="s">
        <v>139</v>
      </c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</row>
    <row r="52" spans="2:23" ht="39.6">
      <c r="B52" s="302" t="s">
        <v>106</v>
      </c>
      <c r="C52" s="419" t="s">
        <v>107</v>
      </c>
      <c r="D52" s="406" t="s">
        <v>108</v>
      </c>
      <c r="E52" s="382" t="s">
        <v>180</v>
      </c>
      <c r="F52" s="420" t="s">
        <v>110</v>
      </c>
      <c r="G52" s="420"/>
      <c r="H52" s="409" t="s">
        <v>140</v>
      </c>
      <c r="I52" s="292"/>
      <c r="J52" s="292"/>
      <c r="K52" s="292"/>
      <c r="L52" s="292"/>
      <c r="M52" s="292"/>
      <c r="N52" s="292"/>
      <c r="O52" s="301"/>
      <c r="P52" s="292"/>
      <c r="Q52" s="292"/>
      <c r="R52" s="292"/>
      <c r="S52" s="292"/>
      <c r="T52" s="292"/>
      <c r="U52" s="292"/>
      <c r="V52" s="292"/>
      <c r="W52" s="292"/>
    </row>
    <row r="53" spans="2:23">
      <c r="B53" s="631" t="s">
        <v>178</v>
      </c>
      <c r="C53" s="632" t="s">
        <v>179</v>
      </c>
      <c r="D53" s="427">
        <f>E55*0.7</f>
        <v>53900</v>
      </c>
      <c r="E53" s="383">
        <v>0</v>
      </c>
      <c r="F53" s="423"/>
      <c r="G53" s="430"/>
      <c r="H53" s="424">
        <f t="shared" ref="H53" si="13">E53-F53</f>
        <v>0</v>
      </c>
      <c r="I53" s="292"/>
      <c r="J53" s="292"/>
      <c r="K53" s="292"/>
      <c r="L53" s="292"/>
      <c r="M53" s="292"/>
      <c r="N53" s="292"/>
      <c r="O53" s="301"/>
      <c r="P53" s="292"/>
      <c r="Q53" s="292"/>
      <c r="R53" s="292"/>
      <c r="S53" s="292"/>
      <c r="T53" s="292"/>
      <c r="U53" s="292"/>
      <c r="V53" s="292"/>
      <c r="W53" s="292"/>
    </row>
    <row r="54" spans="2:23">
      <c r="B54" s="421">
        <v>7</v>
      </c>
      <c r="C54" s="422" t="s">
        <v>142</v>
      </c>
      <c r="D54" s="410">
        <v>0</v>
      </c>
      <c r="E54" s="383">
        <v>2500</v>
      </c>
      <c r="F54" s="423">
        <f>E54*0.5</f>
        <v>1250</v>
      </c>
      <c r="G54" s="423"/>
      <c r="H54" s="424">
        <f t="shared" ref="H54:H59" si="14">E54-F54</f>
        <v>1250</v>
      </c>
      <c r="I54" s="292"/>
      <c r="J54" s="292"/>
      <c r="K54" s="292"/>
      <c r="L54" s="292"/>
      <c r="M54" s="292"/>
      <c r="N54" s="292"/>
      <c r="O54" s="301"/>
      <c r="P54" s="292"/>
      <c r="Q54" s="292"/>
      <c r="R54" s="292"/>
      <c r="S54" s="292"/>
      <c r="T54" s="292"/>
      <c r="U54" s="292"/>
      <c r="V54" s="292"/>
      <c r="W54" s="292"/>
    </row>
    <row r="55" spans="2:23">
      <c r="B55" s="308">
        <v>6</v>
      </c>
      <c r="C55" s="425" t="s">
        <v>139</v>
      </c>
      <c r="D55" s="410">
        <v>0</v>
      </c>
      <c r="E55" s="383">
        <v>77000</v>
      </c>
      <c r="F55" s="423">
        <f>E55*0.02</f>
        <v>1540</v>
      </c>
      <c r="G55" s="423"/>
      <c r="H55" s="424">
        <f t="shared" si="14"/>
        <v>75460</v>
      </c>
      <c r="I55" s="292"/>
      <c r="J55" s="292"/>
      <c r="K55" s="292"/>
      <c r="L55" s="292"/>
      <c r="M55" s="292"/>
      <c r="N55" s="292"/>
      <c r="O55" s="307"/>
      <c r="P55" s="292"/>
      <c r="Q55" s="292"/>
      <c r="R55" s="292"/>
      <c r="S55" s="292"/>
      <c r="T55" s="292"/>
      <c r="U55" s="292"/>
      <c r="V55" s="292"/>
      <c r="W55" s="292"/>
    </row>
    <row r="56" spans="2:23">
      <c r="B56" s="308">
        <v>5</v>
      </c>
      <c r="C56" s="425" t="s">
        <v>139</v>
      </c>
      <c r="D56" s="410">
        <v>0</v>
      </c>
      <c r="E56" s="383">
        <v>77000</v>
      </c>
      <c r="F56" s="423">
        <f>E56*0.02</f>
        <v>1540</v>
      </c>
      <c r="G56" s="423"/>
      <c r="H56" s="424">
        <f t="shared" si="14"/>
        <v>75460</v>
      </c>
      <c r="I56" s="292"/>
      <c r="J56" s="292"/>
      <c r="K56" s="292"/>
      <c r="L56" s="292"/>
      <c r="M56" s="292"/>
      <c r="N56" s="292"/>
      <c r="O56" s="307"/>
      <c r="P56" s="292"/>
      <c r="Q56" s="292"/>
      <c r="R56" s="292"/>
      <c r="S56" s="292"/>
      <c r="T56" s="292"/>
      <c r="U56" s="292"/>
      <c r="V56" s="292"/>
      <c r="W56" s="292"/>
    </row>
    <row r="57" spans="2:23">
      <c r="B57" s="308">
        <v>4</v>
      </c>
      <c r="C57" s="425" t="s">
        <v>139</v>
      </c>
      <c r="D57" s="410">
        <v>0</v>
      </c>
      <c r="E57" s="383">
        <v>77000</v>
      </c>
      <c r="F57" s="423">
        <f>E57*0.02</f>
        <v>1540</v>
      </c>
      <c r="G57" s="423"/>
      <c r="H57" s="424">
        <f t="shared" si="14"/>
        <v>75460</v>
      </c>
      <c r="I57" s="292"/>
      <c r="J57" s="292"/>
      <c r="K57" s="292"/>
      <c r="L57" s="292"/>
      <c r="M57" s="292"/>
      <c r="N57" s="292"/>
      <c r="O57" s="307"/>
      <c r="P57" s="292"/>
      <c r="Q57" s="292"/>
      <c r="R57" s="292"/>
      <c r="S57" s="292"/>
      <c r="T57" s="292"/>
      <c r="U57" s="292"/>
      <c r="V57" s="292"/>
      <c r="W57" s="292"/>
    </row>
    <row r="58" spans="2:23">
      <c r="B58" s="308">
        <v>3</v>
      </c>
      <c r="C58" s="425" t="s">
        <v>139</v>
      </c>
      <c r="D58" s="410">
        <v>0</v>
      </c>
      <c r="E58" s="383">
        <v>77000</v>
      </c>
      <c r="F58" s="423">
        <f>E58*0.02</f>
        <v>1540</v>
      </c>
      <c r="G58" s="423"/>
      <c r="H58" s="424">
        <f t="shared" si="14"/>
        <v>75460</v>
      </c>
      <c r="I58" s="292"/>
      <c r="J58" s="292"/>
      <c r="K58" s="292"/>
      <c r="L58" s="292"/>
      <c r="M58" s="292"/>
      <c r="N58" s="292"/>
      <c r="O58" s="307"/>
      <c r="P58" s="292"/>
      <c r="Q58" s="292"/>
      <c r="R58" s="292"/>
      <c r="S58" s="292"/>
      <c r="T58" s="292"/>
      <c r="U58" s="292"/>
      <c r="V58" s="292"/>
      <c r="W58" s="292"/>
    </row>
    <row r="59" spans="2:23">
      <c r="B59" s="308">
        <v>2</v>
      </c>
      <c r="C59" s="425" t="s">
        <v>139</v>
      </c>
      <c r="D59" s="410">
        <v>0</v>
      </c>
      <c r="E59" s="383">
        <v>77000</v>
      </c>
      <c r="F59" s="423">
        <f>E59*0.02</f>
        <v>1540</v>
      </c>
      <c r="G59" s="423"/>
      <c r="H59" s="424">
        <f t="shared" si="14"/>
        <v>75460</v>
      </c>
      <c r="I59" s="292"/>
      <c r="J59" s="292"/>
      <c r="K59" s="292"/>
      <c r="L59" s="292"/>
      <c r="M59" s="292"/>
      <c r="N59" s="292"/>
      <c r="O59" s="426"/>
      <c r="P59" s="292"/>
      <c r="Q59" s="292"/>
      <c r="R59" s="292"/>
      <c r="S59" s="292"/>
      <c r="T59" s="292"/>
      <c r="U59" s="292"/>
      <c r="V59" s="292"/>
      <c r="W59" s="292"/>
    </row>
    <row r="60" spans="2:23">
      <c r="B60" s="308">
        <v>1</v>
      </c>
      <c r="C60" s="425" t="s">
        <v>143</v>
      </c>
      <c r="D60" s="427">
        <v>1000</v>
      </c>
      <c r="E60" s="383">
        <v>77000</v>
      </c>
      <c r="F60" s="423">
        <f>E60*0.03</f>
        <v>2310</v>
      </c>
      <c r="G60" s="423"/>
      <c r="H60" s="424">
        <f>E60-F60</f>
        <v>74690</v>
      </c>
      <c r="I60" s="292"/>
      <c r="J60" s="292"/>
      <c r="K60" s="292"/>
      <c r="L60" s="292"/>
      <c r="M60" s="292"/>
      <c r="N60" s="292"/>
      <c r="O60" s="292"/>
      <c r="P60" s="292"/>
      <c r="Q60" s="292"/>
      <c r="R60" s="292"/>
      <c r="S60" s="292"/>
      <c r="T60" s="292"/>
      <c r="U60" s="292"/>
      <c r="V60" s="292"/>
      <c r="W60" s="292"/>
    </row>
    <row r="61" spans="2:23">
      <c r="B61" s="317" t="s">
        <v>127</v>
      </c>
      <c r="C61" s="422" t="s">
        <v>139</v>
      </c>
      <c r="D61" s="410">
        <v>0</v>
      </c>
      <c r="E61" s="383">
        <v>71000</v>
      </c>
      <c r="F61" s="423">
        <f>E61*0.03</f>
        <v>2130</v>
      </c>
      <c r="G61" s="423"/>
      <c r="H61" s="424">
        <f>E61-F61</f>
        <v>68870</v>
      </c>
      <c r="I61" s="292"/>
      <c r="J61" s="292"/>
      <c r="K61" s="292"/>
      <c r="L61" s="292"/>
      <c r="M61" s="292"/>
      <c r="N61" s="292"/>
      <c r="O61" s="292"/>
      <c r="P61" s="292"/>
      <c r="Q61" s="292"/>
      <c r="R61" s="292"/>
      <c r="S61" s="292"/>
      <c r="T61" s="292"/>
      <c r="U61" s="292"/>
      <c r="V61" s="292"/>
      <c r="W61" s="292"/>
    </row>
    <row r="62" spans="2:23" ht="13.8" thickBot="1">
      <c r="B62" s="323"/>
      <c r="C62" s="428" t="s">
        <v>128</v>
      </c>
      <c r="D62" s="633">
        <f>SUM(D53:D61)</f>
        <v>54900</v>
      </c>
      <c r="E62" s="384">
        <f>SUM(E53:E61)</f>
        <v>535500</v>
      </c>
      <c r="F62" s="429">
        <f>SUM(F53:F61)</f>
        <v>13390</v>
      </c>
      <c r="G62" s="429"/>
      <c r="H62" s="417">
        <f>SUM(H53:H61)</f>
        <v>522110</v>
      </c>
      <c r="I62" s="292"/>
      <c r="J62" s="292"/>
      <c r="K62" s="292"/>
      <c r="L62" s="292"/>
      <c r="M62" s="292"/>
      <c r="N62" s="292"/>
      <c r="O62" s="292"/>
      <c r="P62" s="292"/>
      <c r="Q62" s="292"/>
      <c r="R62" s="292"/>
      <c r="S62" s="292"/>
      <c r="T62" s="292"/>
      <c r="U62" s="292"/>
      <c r="V62" s="292"/>
      <c r="W62" s="292"/>
    </row>
    <row r="63" spans="2:23">
      <c r="B63" s="293"/>
      <c r="C63" s="293"/>
      <c r="D63" s="294" t="s">
        <v>0</v>
      </c>
      <c r="E63" s="294" t="s">
        <v>0</v>
      </c>
      <c r="F63" s="295"/>
      <c r="G63" s="295"/>
      <c r="H63" s="295"/>
      <c r="I63" s="292"/>
      <c r="J63" s="329"/>
      <c r="K63" s="329"/>
      <c r="L63" s="329"/>
      <c r="M63" s="329"/>
      <c r="N63" s="329"/>
      <c r="O63" s="329"/>
      <c r="P63" s="329"/>
      <c r="Q63" s="329"/>
      <c r="R63" s="329"/>
      <c r="S63" s="329"/>
      <c r="T63" s="329"/>
      <c r="U63" s="329"/>
      <c r="V63" s="329"/>
      <c r="W63" s="329"/>
    </row>
    <row r="64" spans="2:23">
      <c r="B64" s="293"/>
      <c r="C64" s="293"/>
      <c r="D64" s="294"/>
      <c r="E64" s="294"/>
      <c r="F64" s="295"/>
      <c r="G64" s="295"/>
      <c r="H64" s="295"/>
      <c r="I64" s="292"/>
      <c r="J64" s="329"/>
      <c r="K64" s="329"/>
      <c r="L64" s="329"/>
      <c r="M64" s="295"/>
      <c r="N64" s="329"/>
      <c r="O64" s="329"/>
      <c r="P64" s="329"/>
      <c r="Q64" s="329"/>
      <c r="R64" s="329"/>
      <c r="S64" s="329"/>
      <c r="T64" s="329"/>
      <c r="U64" s="329"/>
      <c r="V64" s="329"/>
      <c r="W64" s="329"/>
    </row>
    <row r="65" spans="2:23" ht="13.8" thickBot="1">
      <c r="B65" s="293"/>
      <c r="C65" s="293"/>
      <c r="D65" s="294"/>
      <c r="E65" s="294"/>
      <c r="F65" s="295"/>
      <c r="G65" s="295"/>
      <c r="H65" s="295"/>
      <c r="I65" s="292"/>
      <c r="J65" s="329"/>
      <c r="K65" s="329"/>
      <c r="L65" s="329"/>
      <c r="M65" s="295"/>
      <c r="N65" s="329"/>
      <c r="O65" s="329"/>
      <c r="P65" s="329"/>
      <c r="Q65" s="329"/>
      <c r="R65" s="329"/>
      <c r="S65" s="329"/>
      <c r="T65" s="329"/>
      <c r="U65" s="329"/>
      <c r="V65" s="329"/>
      <c r="W65" s="329"/>
    </row>
    <row r="66" spans="2:23" ht="17.399999999999999" thickBot="1">
      <c r="B66" s="401" t="s">
        <v>158</v>
      </c>
      <c r="C66" s="401"/>
      <c r="D66" s="402"/>
      <c r="E66" s="402"/>
      <c r="F66" s="403" t="s">
        <v>110</v>
      </c>
      <c r="G66" s="403"/>
      <c r="H66" s="404" t="s">
        <v>139</v>
      </c>
      <c r="I66" s="292"/>
      <c r="J66" s="329"/>
      <c r="K66" s="329"/>
      <c r="L66" s="329"/>
      <c r="M66" s="329"/>
      <c r="N66" s="329"/>
      <c r="O66" s="329"/>
      <c r="P66" s="329"/>
      <c r="Q66" s="329"/>
      <c r="R66" s="329"/>
      <c r="S66" s="329"/>
      <c r="T66" s="329"/>
      <c r="U66" s="329"/>
      <c r="V66" s="329"/>
      <c r="W66" s="329"/>
    </row>
    <row r="67" spans="2:23" ht="39.6">
      <c r="B67" s="302" t="s">
        <v>106</v>
      </c>
      <c r="C67" s="419" t="s">
        <v>107</v>
      </c>
      <c r="D67" s="406" t="s">
        <v>108</v>
      </c>
      <c r="E67" s="382" t="s">
        <v>180</v>
      </c>
      <c r="F67" s="420" t="s">
        <v>110</v>
      </c>
      <c r="G67" s="420"/>
      <c r="H67" s="409" t="s">
        <v>140</v>
      </c>
      <c r="I67" s="292"/>
      <c r="J67" s="329"/>
      <c r="K67" s="329"/>
      <c r="L67" s="329"/>
      <c r="M67" s="301"/>
      <c r="N67" s="329"/>
      <c r="O67" s="329"/>
      <c r="P67" s="329"/>
      <c r="Q67" s="329"/>
      <c r="R67" s="329"/>
      <c r="S67" s="329"/>
      <c r="T67" s="329"/>
      <c r="U67" s="329"/>
      <c r="V67" s="329"/>
      <c r="W67" s="329"/>
    </row>
    <row r="68" spans="2:23">
      <c r="B68" s="631" t="s">
        <v>178</v>
      </c>
      <c r="C68" s="632" t="s">
        <v>179</v>
      </c>
      <c r="D68" s="427">
        <f>E70*0.7</f>
        <v>35525</v>
      </c>
      <c r="E68" s="383">
        <v>0</v>
      </c>
      <c r="F68" s="423"/>
      <c r="G68" s="430"/>
      <c r="H68" s="424">
        <f t="shared" ref="H68" si="15">E68-F68</f>
        <v>0</v>
      </c>
      <c r="I68" s="292"/>
      <c r="J68" s="329"/>
      <c r="K68" s="329"/>
      <c r="L68" s="329"/>
      <c r="M68" s="301"/>
      <c r="N68" s="329"/>
      <c r="O68" s="329"/>
      <c r="P68" s="329"/>
      <c r="Q68" s="329"/>
      <c r="R68" s="329"/>
      <c r="S68" s="329"/>
      <c r="T68" s="329"/>
      <c r="U68" s="329"/>
      <c r="V68" s="329"/>
      <c r="W68" s="329"/>
    </row>
    <row r="69" spans="2:23">
      <c r="B69" s="421">
        <v>7</v>
      </c>
      <c r="C69" s="422" t="s">
        <v>142</v>
      </c>
      <c r="D69" s="410">
        <v>0</v>
      </c>
      <c r="E69" s="383">
        <v>1750</v>
      </c>
      <c r="F69" s="423">
        <f>E69*0.5</f>
        <v>875</v>
      </c>
      <c r="G69" s="423"/>
      <c r="H69" s="424">
        <f t="shared" ref="H69:H76" si="16">E69-F69</f>
        <v>875</v>
      </c>
      <c r="I69" s="292"/>
      <c r="J69" s="329"/>
      <c r="K69" s="329"/>
      <c r="L69" s="329"/>
      <c r="M69" s="307"/>
      <c r="N69" s="329"/>
      <c r="O69" s="329"/>
      <c r="P69" s="329"/>
      <c r="Q69" s="329"/>
      <c r="R69" s="329"/>
      <c r="S69" s="329"/>
      <c r="T69" s="329"/>
      <c r="U69" s="329"/>
      <c r="V69" s="329"/>
      <c r="W69" s="329"/>
    </row>
    <row r="70" spans="2:23">
      <c r="B70" s="308">
        <v>6</v>
      </c>
      <c r="C70" s="425" t="s">
        <v>139</v>
      </c>
      <c r="D70" s="410">
        <v>0</v>
      </c>
      <c r="E70" s="383">
        <v>50750</v>
      </c>
      <c r="F70" s="423">
        <f>E70*0.03</f>
        <v>1522.5</v>
      </c>
      <c r="G70" s="423"/>
      <c r="H70" s="424">
        <f>E70-F70</f>
        <v>49227.5</v>
      </c>
      <c r="I70" s="292"/>
      <c r="J70" s="329"/>
      <c r="K70" s="329"/>
      <c r="L70" s="329"/>
      <c r="M70" s="307"/>
      <c r="N70" s="329"/>
      <c r="O70" s="329"/>
      <c r="P70" s="329"/>
      <c r="Q70" s="329"/>
      <c r="R70" s="329"/>
      <c r="S70" s="329"/>
      <c r="T70" s="329"/>
      <c r="U70" s="329"/>
      <c r="V70" s="329"/>
      <c r="W70" s="329"/>
    </row>
    <row r="71" spans="2:23">
      <c r="B71" s="308">
        <v>5</v>
      </c>
      <c r="C71" s="425" t="s">
        <v>139</v>
      </c>
      <c r="D71" s="410">
        <v>0</v>
      </c>
      <c r="E71" s="383">
        <v>50750</v>
      </c>
      <c r="F71" s="423">
        <f>E71*0.03</f>
        <v>1522.5</v>
      </c>
      <c r="G71" s="423"/>
      <c r="H71" s="424">
        <f>E71-F71</f>
        <v>49227.5</v>
      </c>
      <c r="I71" s="292"/>
      <c r="J71" s="329"/>
      <c r="K71" s="329"/>
      <c r="L71" s="329"/>
      <c r="M71" s="307"/>
      <c r="N71" s="329"/>
      <c r="O71" s="329"/>
      <c r="P71" s="329"/>
      <c r="Q71" s="329"/>
      <c r="R71" s="329"/>
      <c r="S71" s="329"/>
      <c r="T71" s="329"/>
      <c r="U71" s="329"/>
      <c r="V71" s="329"/>
      <c r="W71" s="329"/>
    </row>
    <row r="72" spans="2:23">
      <c r="B72" s="308">
        <v>4</v>
      </c>
      <c r="C72" s="425" t="s">
        <v>139</v>
      </c>
      <c r="D72" s="410">
        <v>0</v>
      </c>
      <c r="E72" s="383">
        <v>50750</v>
      </c>
      <c r="F72" s="423">
        <f>E72*0.03</f>
        <v>1522.5</v>
      </c>
      <c r="G72" s="423"/>
      <c r="H72" s="424">
        <f t="shared" si="16"/>
        <v>49227.5</v>
      </c>
      <c r="I72" s="292"/>
      <c r="J72" s="329"/>
      <c r="K72" s="329"/>
      <c r="L72" s="329"/>
      <c r="M72" s="307"/>
      <c r="N72" s="329"/>
      <c r="O72" s="329"/>
      <c r="P72" s="329"/>
      <c r="Q72" s="329"/>
      <c r="R72" s="329"/>
      <c r="S72" s="329"/>
      <c r="T72" s="329"/>
      <c r="U72" s="329"/>
      <c r="V72" s="329"/>
      <c r="W72" s="329"/>
    </row>
    <row r="73" spans="2:23">
      <c r="B73" s="308">
        <v>3</v>
      </c>
      <c r="C73" s="425" t="s">
        <v>139</v>
      </c>
      <c r="D73" s="410">
        <v>0</v>
      </c>
      <c r="E73" s="383">
        <v>50750</v>
      </c>
      <c r="F73" s="423">
        <f>E73*0.03</f>
        <v>1522.5</v>
      </c>
      <c r="G73" s="423"/>
      <c r="H73" s="424">
        <f t="shared" si="16"/>
        <v>49227.5</v>
      </c>
      <c r="I73" s="292"/>
      <c r="J73" s="329"/>
      <c r="K73" s="329"/>
      <c r="L73" s="329"/>
      <c r="M73" s="307"/>
      <c r="N73" s="329"/>
      <c r="O73" s="329"/>
      <c r="P73" s="329"/>
      <c r="Q73" s="329"/>
      <c r="R73" s="329"/>
      <c r="S73" s="329"/>
      <c r="T73" s="329"/>
      <c r="U73" s="329"/>
      <c r="V73" s="329"/>
      <c r="W73" s="329"/>
    </row>
    <row r="74" spans="2:23">
      <c r="B74" s="308">
        <v>2</v>
      </c>
      <c r="C74" s="425" t="s">
        <v>139</v>
      </c>
      <c r="D74" s="410">
        <v>0</v>
      </c>
      <c r="E74" s="383">
        <v>50750</v>
      </c>
      <c r="F74" s="423">
        <f>E74*0.03</f>
        <v>1522.5</v>
      </c>
      <c r="G74" s="423"/>
      <c r="H74" s="424">
        <f t="shared" si="16"/>
        <v>49227.5</v>
      </c>
      <c r="I74" s="292"/>
      <c r="J74" s="329"/>
      <c r="K74" s="329"/>
      <c r="L74" s="329"/>
      <c r="M74" s="307"/>
      <c r="N74" s="329"/>
      <c r="O74" s="329"/>
      <c r="P74" s="329"/>
      <c r="Q74" s="329"/>
      <c r="R74" s="329"/>
      <c r="S74" s="329"/>
      <c r="T74" s="329"/>
      <c r="U74" s="329"/>
      <c r="V74" s="329"/>
      <c r="W74" s="329"/>
    </row>
    <row r="75" spans="2:23">
      <c r="B75" s="308">
        <v>1</v>
      </c>
      <c r="C75" s="425" t="s">
        <v>139</v>
      </c>
      <c r="D75" s="427">
        <v>1000</v>
      </c>
      <c r="E75" s="383">
        <v>50750</v>
      </c>
      <c r="F75" s="423">
        <f>E75*0.05</f>
        <v>2537.5</v>
      </c>
      <c r="G75" s="423"/>
      <c r="H75" s="424">
        <f t="shared" si="16"/>
        <v>48212.5</v>
      </c>
      <c r="I75" s="292"/>
      <c r="J75" s="329"/>
      <c r="K75" s="329"/>
      <c r="L75" s="329"/>
      <c r="M75" s="307"/>
      <c r="N75" s="329"/>
      <c r="O75" s="329"/>
      <c r="P75" s="329"/>
      <c r="Q75" s="329"/>
      <c r="R75" s="329"/>
      <c r="S75" s="329"/>
      <c r="T75" s="329"/>
      <c r="U75" s="329"/>
      <c r="V75" s="329"/>
      <c r="W75" s="329"/>
    </row>
    <row r="76" spans="2:23">
      <c r="B76" s="317" t="s">
        <v>127</v>
      </c>
      <c r="C76" s="422" t="s">
        <v>139</v>
      </c>
      <c r="D76" s="410">
        <v>0</v>
      </c>
      <c r="E76" s="383">
        <v>50750</v>
      </c>
      <c r="F76" s="423">
        <f>E76*0.05</f>
        <v>2537.5</v>
      </c>
      <c r="G76" s="423"/>
      <c r="H76" s="424">
        <f t="shared" si="16"/>
        <v>48212.5</v>
      </c>
      <c r="I76" s="292"/>
      <c r="J76" s="329"/>
      <c r="K76" s="329"/>
      <c r="L76" s="329"/>
      <c r="M76" s="307"/>
      <c r="N76" s="329"/>
      <c r="O76" s="329"/>
      <c r="P76" s="329"/>
      <c r="Q76" s="329"/>
      <c r="R76" s="329"/>
      <c r="S76" s="329"/>
      <c r="T76" s="329"/>
      <c r="U76" s="329"/>
      <c r="V76" s="329"/>
      <c r="W76" s="329"/>
    </row>
    <row r="77" spans="2:23" ht="13.8" thickBot="1">
      <c r="B77" s="323"/>
      <c r="C77" s="428" t="s">
        <v>128</v>
      </c>
      <c r="D77" s="633">
        <f>SUM(D68:D76)</f>
        <v>36525</v>
      </c>
      <c r="E77" s="384">
        <f>SUM(E68:E76)</f>
        <v>357000</v>
      </c>
      <c r="F77" s="429">
        <f>SUM(F68:F76)</f>
        <v>13562.5</v>
      </c>
      <c r="G77" s="429"/>
      <c r="H77" s="417">
        <f>SUM(H68:H76)</f>
        <v>343437.5</v>
      </c>
      <c r="I77" s="292"/>
      <c r="J77" s="329"/>
      <c r="K77" s="329"/>
      <c r="L77" s="329"/>
      <c r="M77" s="301"/>
      <c r="N77" s="329"/>
      <c r="O77" s="329"/>
      <c r="P77" s="329"/>
      <c r="Q77" s="329"/>
      <c r="R77" s="329"/>
      <c r="S77" s="329"/>
      <c r="T77" s="329"/>
      <c r="U77" s="329"/>
      <c r="V77" s="329"/>
      <c r="W77" s="329"/>
    </row>
    <row r="78" spans="2:23">
      <c r="B78" s="293"/>
      <c r="C78" s="293"/>
      <c r="D78" s="294" t="s">
        <v>0</v>
      </c>
      <c r="E78" s="294" t="s">
        <v>0</v>
      </c>
      <c r="F78" s="295"/>
      <c r="G78" s="295"/>
      <c r="H78" s="295"/>
      <c r="I78" s="292"/>
      <c r="J78" s="329"/>
      <c r="K78" s="329"/>
      <c r="L78" s="329"/>
      <c r="M78" s="334"/>
      <c r="N78" s="329"/>
      <c r="O78" s="329"/>
      <c r="P78" s="329"/>
      <c r="Q78" s="329"/>
      <c r="R78" s="329"/>
      <c r="S78" s="329"/>
      <c r="T78" s="329"/>
      <c r="U78" s="329"/>
      <c r="V78" s="329"/>
      <c r="W78" s="329"/>
    </row>
    <row r="79" spans="2:23">
      <c r="B79" s="292" t="s">
        <v>0</v>
      </c>
      <c r="C79" s="426"/>
      <c r="D79" s="292"/>
      <c r="E79" s="426" t="s">
        <v>0</v>
      </c>
      <c r="F79" s="292"/>
      <c r="G79" s="292"/>
      <c r="H79" s="292"/>
      <c r="I79" s="292"/>
      <c r="J79" s="292"/>
      <c r="K79" s="292"/>
      <c r="L79" s="292"/>
      <c r="M79" s="292"/>
      <c r="N79" s="292"/>
      <c r="O79" s="292"/>
      <c r="P79" s="292"/>
      <c r="Q79" s="292"/>
      <c r="R79" s="292"/>
      <c r="S79" s="292"/>
      <c r="T79" s="292"/>
      <c r="U79" s="292"/>
      <c r="V79" s="292"/>
      <c r="W79" s="292"/>
    </row>
    <row r="80" spans="2:23" ht="43.8" thickBot="1">
      <c r="B80" s="296" t="s">
        <v>144</v>
      </c>
      <c r="C80" s="292"/>
      <c r="D80" s="292"/>
      <c r="E80" s="292"/>
      <c r="F80" s="292"/>
      <c r="G80" s="292"/>
      <c r="H80" s="292"/>
      <c r="I80" s="292"/>
      <c r="J80" s="292"/>
      <c r="K80" s="292"/>
      <c r="L80" s="292"/>
      <c r="M80" s="292"/>
      <c r="N80" s="292"/>
      <c r="O80" s="292"/>
      <c r="P80" s="292"/>
      <c r="Q80" s="292"/>
      <c r="R80" s="292"/>
      <c r="S80" s="292"/>
      <c r="T80" s="292"/>
      <c r="U80" s="292"/>
      <c r="V80" s="292"/>
      <c r="W80" s="292"/>
    </row>
    <row r="81" spans="2:23" ht="17.399999999999999" thickBot="1">
      <c r="B81" s="401" t="s">
        <v>0</v>
      </c>
      <c r="C81" s="401"/>
      <c r="D81" s="297"/>
      <c r="E81" s="297"/>
      <c r="F81" s="403" t="s">
        <v>110</v>
      </c>
      <c r="G81" s="403"/>
      <c r="H81" s="404" t="s">
        <v>139</v>
      </c>
      <c r="I81" s="431" t="s">
        <v>145</v>
      </c>
      <c r="J81" s="432"/>
      <c r="K81" s="432"/>
      <c r="L81" s="432"/>
      <c r="M81" s="433" t="s">
        <v>146</v>
      </c>
      <c r="N81" s="434"/>
      <c r="O81" s="434"/>
      <c r="P81" s="432"/>
      <c r="Q81" s="434"/>
      <c r="R81" s="435"/>
      <c r="S81" s="431" t="s">
        <v>147</v>
      </c>
      <c r="T81" s="432"/>
      <c r="U81" s="434"/>
      <c r="V81" s="435"/>
      <c r="W81" s="293"/>
    </row>
    <row r="82" spans="2:23" ht="40.200000000000003" thickBot="1">
      <c r="B82" s="436" t="s">
        <v>0</v>
      </c>
      <c r="C82" s="437" t="s">
        <v>0</v>
      </c>
      <c r="D82" s="438" t="s">
        <v>108</v>
      </c>
      <c r="E82" s="492" t="s">
        <v>109</v>
      </c>
      <c r="F82" s="439" t="s">
        <v>110</v>
      </c>
      <c r="G82" s="439"/>
      <c r="H82" s="440" t="s">
        <v>148</v>
      </c>
      <c r="I82" s="441" t="s">
        <v>118</v>
      </c>
      <c r="J82" s="442" t="s">
        <v>119</v>
      </c>
      <c r="K82" s="442" t="s">
        <v>149</v>
      </c>
      <c r="L82" s="443"/>
      <c r="M82" s="444" t="s">
        <v>150</v>
      </c>
      <c r="N82" s="445" t="s">
        <v>120</v>
      </c>
      <c r="O82" s="445" t="s">
        <v>121</v>
      </c>
      <c r="P82" s="442" t="s">
        <v>122</v>
      </c>
      <c r="Q82" s="442" t="s">
        <v>123</v>
      </c>
      <c r="R82" s="446" t="s">
        <v>47</v>
      </c>
      <c r="S82" s="447" t="s">
        <v>151</v>
      </c>
      <c r="T82" s="442" t="s">
        <v>152</v>
      </c>
      <c r="U82" s="442" t="s">
        <v>153</v>
      </c>
      <c r="V82" s="448" t="s">
        <v>154</v>
      </c>
      <c r="W82" s="293"/>
    </row>
    <row r="83" spans="2:23" ht="16.8">
      <c r="B83" s="449" t="s">
        <v>0</v>
      </c>
      <c r="C83" s="450" t="s">
        <v>105</v>
      </c>
      <c r="D83" s="451">
        <f>D$25</f>
        <v>0</v>
      </c>
      <c r="E83" s="493" t="e">
        <f>E$26</f>
        <v>#REF!</v>
      </c>
      <c r="F83" s="452">
        <f>F26</f>
        <v>234738</v>
      </c>
      <c r="G83" s="452"/>
      <c r="H83" s="453">
        <f>E$25</f>
        <v>40738</v>
      </c>
      <c r="I83" s="454" t="e">
        <f>K$26</f>
        <v>#REF!</v>
      </c>
      <c r="J83" s="455">
        <f>P$26</f>
        <v>301200</v>
      </c>
      <c r="K83" s="455" t="e">
        <f>K$26</f>
        <v>#REF!</v>
      </c>
      <c r="L83" s="456"/>
      <c r="M83" s="457">
        <f>K$25</f>
        <v>0</v>
      </c>
      <c r="N83" s="458">
        <f>Q$26</f>
        <v>40650</v>
      </c>
      <c r="O83" s="458">
        <f>R$26</f>
        <v>91850</v>
      </c>
      <c r="P83" s="455" t="e">
        <f>S$26</f>
        <v>#REF!</v>
      </c>
      <c r="Q83" s="455" t="e">
        <f>S$26</f>
        <v>#REF!</v>
      </c>
      <c r="R83" s="459">
        <f>U$26</f>
        <v>31993</v>
      </c>
      <c r="S83" s="460">
        <f>U$25</f>
        <v>0</v>
      </c>
      <c r="T83" s="455">
        <f>W$25</f>
        <v>0</v>
      </c>
      <c r="U83" s="455">
        <f>Y$25</f>
        <v>0</v>
      </c>
      <c r="V83" s="459">
        <f>Z$25</f>
        <v>0</v>
      </c>
      <c r="W83" s="292"/>
    </row>
    <row r="84" spans="2:23" ht="16.8">
      <c r="B84" s="461"/>
      <c r="C84" s="462" t="s">
        <v>138</v>
      </c>
      <c r="D84" s="463">
        <f>D$46</f>
        <v>0</v>
      </c>
      <c r="E84" s="494">
        <f>E47</f>
        <v>90000</v>
      </c>
      <c r="F84" s="464">
        <f>F$47</f>
        <v>90000</v>
      </c>
      <c r="G84" s="464"/>
      <c r="H84" s="465">
        <f t="shared" ref="H84:V84" si="17">H$46</f>
        <v>0</v>
      </c>
      <c r="I84" s="321">
        <f t="shared" si="17"/>
        <v>0</v>
      </c>
      <c r="J84" s="320">
        <f t="shared" si="17"/>
        <v>0</v>
      </c>
      <c r="K84" s="320">
        <f t="shared" si="17"/>
        <v>0</v>
      </c>
      <c r="L84" s="466"/>
      <c r="M84" s="467">
        <f>M$46</f>
        <v>0</v>
      </c>
      <c r="N84" s="322">
        <f t="shared" si="17"/>
        <v>0</v>
      </c>
      <c r="O84" s="320">
        <f t="shared" si="17"/>
        <v>0</v>
      </c>
      <c r="P84" s="320">
        <f t="shared" si="17"/>
        <v>0</v>
      </c>
      <c r="Q84" s="320">
        <f t="shared" si="17"/>
        <v>0</v>
      </c>
      <c r="R84" s="468">
        <f t="shared" si="17"/>
        <v>0</v>
      </c>
      <c r="S84" s="469">
        <f t="shared" si="17"/>
        <v>0</v>
      </c>
      <c r="T84" s="320">
        <f t="shared" si="17"/>
        <v>0</v>
      </c>
      <c r="U84" s="320">
        <f t="shared" si="17"/>
        <v>0</v>
      </c>
      <c r="V84" s="468">
        <f t="shared" si="17"/>
        <v>0</v>
      </c>
      <c r="W84" s="292"/>
    </row>
    <row r="85" spans="2:23" ht="16.8">
      <c r="B85" s="470"/>
      <c r="C85" s="471" t="s">
        <v>160</v>
      </c>
      <c r="D85" s="472">
        <f>D$61</f>
        <v>0</v>
      </c>
      <c r="E85" s="495">
        <f>E62</f>
        <v>535500</v>
      </c>
      <c r="F85" s="473">
        <f>F$62</f>
        <v>13390</v>
      </c>
      <c r="G85" s="473"/>
      <c r="H85" s="474">
        <f>H$62</f>
        <v>522110</v>
      </c>
      <c r="I85" s="313">
        <f t="shared" ref="I85:V85" si="18">I$61</f>
        <v>0</v>
      </c>
      <c r="J85" s="312">
        <f t="shared" si="18"/>
        <v>0</v>
      </c>
      <c r="K85" s="312">
        <f t="shared" si="18"/>
        <v>0</v>
      </c>
      <c r="L85" s="475"/>
      <c r="M85" s="476">
        <f>M$61</f>
        <v>0</v>
      </c>
      <c r="N85" s="314">
        <f t="shared" si="18"/>
        <v>0</v>
      </c>
      <c r="O85" s="314">
        <f t="shared" si="18"/>
        <v>0</v>
      </c>
      <c r="P85" s="312">
        <f t="shared" si="18"/>
        <v>0</v>
      </c>
      <c r="Q85" s="312">
        <f t="shared" si="18"/>
        <v>0</v>
      </c>
      <c r="R85" s="477">
        <f t="shared" si="18"/>
        <v>0</v>
      </c>
      <c r="S85" s="478">
        <f t="shared" si="18"/>
        <v>0</v>
      </c>
      <c r="T85" s="312">
        <f t="shared" si="18"/>
        <v>0</v>
      </c>
      <c r="U85" s="312">
        <f t="shared" si="18"/>
        <v>0</v>
      </c>
      <c r="V85" s="477">
        <f t="shared" si="18"/>
        <v>0</v>
      </c>
      <c r="W85" s="292"/>
    </row>
    <row r="86" spans="2:23" ht="17.399999999999999" thickBot="1">
      <c r="B86" s="461"/>
      <c r="C86" s="462" t="s">
        <v>159</v>
      </c>
      <c r="D86" s="463">
        <f>D$76</f>
        <v>0</v>
      </c>
      <c r="E86" s="494">
        <f>E77</f>
        <v>357000</v>
      </c>
      <c r="F86" s="464">
        <f>F$77</f>
        <v>13562.5</v>
      </c>
      <c r="G86" s="464"/>
      <c r="H86" s="465">
        <f>H$77</f>
        <v>343437.5</v>
      </c>
      <c r="I86" s="321">
        <f t="shared" ref="I86:V86" si="19">I$76</f>
        <v>0</v>
      </c>
      <c r="J86" s="320">
        <f t="shared" si="19"/>
        <v>0</v>
      </c>
      <c r="K86" s="320">
        <f t="shared" si="19"/>
        <v>0</v>
      </c>
      <c r="L86" s="466"/>
      <c r="M86" s="467">
        <f>M$76</f>
        <v>0</v>
      </c>
      <c r="N86" s="322">
        <f t="shared" si="19"/>
        <v>0</v>
      </c>
      <c r="O86" s="322">
        <f t="shared" si="19"/>
        <v>0</v>
      </c>
      <c r="P86" s="320">
        <f t="shared" si="19"/>
        <v>0</v>
      </c>
      <c r="Q86" s="320">
        <f t="shared" si="19"/>
        <v>0</v>
      </c>
      <c r="R86" s="468">
        <f t="shared" si="19"/>
        <v>0</v>
      </c>
      <c r="S86" s="469">
        <f t="shared" si="19"/>
        <v>0</v>
      </c>
      <c r="T86" s="320">
        <f t="shared" si="19"/>
        <v>0</v>
      </c>
      <c r="U86" s="320">
        <f t="shared" si="19"/>
        <v>0</v>
      </c>
      <c r="V86" s="468">
        <f t="shared" si="19"/>
        <v>0</v>
      </c>
      <c r="W86" s="292"/>
    </row>
    <row r="87" spans="2:23" ht="34.200000000000003" thickBot="1">
      <c r="B87" s="479" t="s">
        <v>155</v>
      </c>
      <c r="C87" s="480" t="s">
        <v>156</v>
      </c>
      <c r="D87" s="481">
        <f>SUM(D83:D86)</f>
        <v>0</v>
      </c>
      <c r="E87" s="496" t="e">
        <f>SUM(E83:E86)</f>
        <v>#REF!</v>
      </c>
      <c r="F87" s="482">
        <f t="shared" ref="F87:V87" si="20">SUM(F83:F86)</f>
        <v>351690.5</v>
      </c>
      <c r="G87" s="482"/>
      <c r="H87" s="483">
        <f t="shared" si="20"/>
        <v>906285.5</v>
      </c>
      <c r="I87" s="484" t="e">
        <f t="shared" si="20"/>
        <v>#REF!</v>
      </c>
      <c r="J87" s="485">
        <f t="shared" si="20"/>
        <v>301200</v>
      </c>
      <c r="K87" s="485" t="e">
        <f t="shared" si="20"/>
        <v>#REF!</v>
      </c>
      <c r="L87" s="486"/>
      <c r="M87" s="487">
        <f>SUM(M83:M86)</f>
        <v>0</v>
      </c>
      <c r="N87" s="488">
        <f t="shared" si="20"/>
        <v>40650</v>
      </c>
      <c r="O87" s="488">
        <f t="shared" si="20"/>
        <v>91850</v>
      </c>
      <c r="P87" s="485" t="e">
        <f t="shared" si="20"/>
        <v>#REF!</v>
      </c>
      <c r="Q87" s="485" t="e">
        <f t="shared" si="20"/>
        <v>#REF!</v>
      </c>
      <c r="R87" s="489">
        <f t="shared" si="20"/>
        <v>31993</v>
      </c>
      <c r="S87" s="490">
        <f t="shared" si="20"/>
        <v>0</v>
      </c>
      <c r="T87" s="485">
        <f t="shared" si="20"/>
        <v>0</v>
      </c>
      <c r="U87" s="485">
        <f t="shared" si="20"/>
        <v>0</v>
      </c>
      <c r="V87" s="489">
        <f t="shared" si="20"/>
        <v>0</v>
      </c>
      <c r="W87" s="491"/>
    </row>
    <row r="88" spans="2:23">
      <c r="B88" s="292"/>
      <c r="C88" s="292"/>
      <c r="D88" s="292"/>
      <c r="E88" s="292"/>
      <c r="F88" s="292"/>
      <c r="G88" s="292"/>
      <c r="H88" s="292"/>
      <c r="I88" s="292"/>
      <c r="J88" s="292"/>
      <c r="K88" s="292"/>
      <c r="L88" s="292"/>
      <c r="M88" s="292"/>
      <c r="N88" s="292"/>
      <c r="O88" s="292"/>
      <c r="P88" s="292"/>
      <c r="Q88" s="292"/>
      <c r="R88" s="292"/>
      <c r="S88" s="292"/>
      <c r="T88" s="292"/>
      <c r="U88" s="292"/>
      <c r="V88" s="292"/>
      <c r="W88" s="292"/>
    </row>
  </sheetData>
  <mergeCells count="4">
    <mergeCell ref="H6:K6"/>
    <mergeCell ref="L6:U6"/>
    <mergeCell ref="C31:G32"/>
    <mergeCell ref="C34:G3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696D4-6CA4-47D9-A365-EA3C61BB4D15}">
  <dimension ref="A2:AC141"/>
  <sheetViews>
    <sheetView workbookViewId="0"/>
  </sheetViews>
  <sheetFormatPr defaultColWidth="9.33203125" defaultRowHeight="12.6"/>
  <cols>
    <col min="1" max="1" width="11.33203125" style="229" customWidth="1"/>
    <col min="2" max="2" width="51.44140625" style="229" customWidth="1"/>
    <col min="3" max="4" width="13.6640625" style="229" customWidth="1"/>
    <col min="5" max="5" width="19.33203125" style="229" customWidth="1"/>
    <col min="6" max="6" width="2.6640625" style="229" customWidth="1"/>
    <col min="7" max="9" width="13.6640625" style="229" customWidth="1"/>
    <col min="10" max="10" width="2.6640625" style="229" customWidth="1"/>
    <col min="11" max="13" width="13.6640625" style="229" customWidth="1"/>
    <col min="14" max="14" width="2.6640625" style="229" customWidth="1"/>
    <col min="15" max="17" width="13.6640625" style="229" customWidth="1"/>
    <col min="18" max="18" width="5.6640625" style="229" customWidth="1"/>
    <col min="19" max="16384" width="9.33203125" style="229"/>
  </cols>
  <sheetData>
    <row r="2" spans="1:29" ht="30" customHeight="1">
      <c r="B2" s="1022" t="s">
        <v>479</v>
      </c>
    </row>
    <row r="4" spans="1:29" ht="13.2">
      <c r="B4" s="1021" t="s">
        <v>462</v>
      </c>
    </row>
    <row r="5" spans="1:29" ht="13.2" thickBot="1">
      <c r="F5" s="635"/>
    </row>
    <row r="6" spans="1:29" ht="30" customHeight="1" thickBot="1">
      <c r="A6" s="1019"/>
      <c r="B6" s="706" t="s">
        <v>236</v>
      </c>
      <c r="C6" s="1213" t="s">
        <v>84</v>
      </c>
      <c r="D6" s="1213"/>
      <c r="E6" s="707" t="s">
        <v>53</v>
      </c>
      <c r="F6" s="708"/>
      <c r="G6" s="1213" t="s">
        <v>190</v>
      </c>
      <c r="H6" s="1213"/>
      <c r="I6" s="707" t="s">
        <v>191</v>
      </c>
      <c r="J6" s="293"/>
      <c r="K6" s="1213" t="s">
        <v>192</v>
      </c>
      <c r="L6" s="1213"/>
      <c r="M6" s="707" t="s">
        <v>191</v>
      </c>
      <c r="N6" s="293"/>
      <c r="O6" s="1213" t="s">
        <v>193</v>
      </c>
      <c r="P6" s="1213"/>
      <c r="Q6" s="707" t="s">
        <v>194</v>
      </c>
      <c r="R6" s="637"/>
      <c r="S6" s="1211" t="s">
        <v>101</v>
      </c>
      <c r="T6" s="1212"/>
      <c r="U6" s="1212"/>
      <c r="V6" s="1212"/>
      <c r="W6" s="1212"/>
      <c r="X6" s="1212"/>
      <c r="Y6" s="1212"/>
      <c r="Z6" s="637"/>
      <c r="AA6" s="637"/>
      <c r="AB6" s="637"/>
      <c r="AC6" s="637"/>
    </row>
    <row r="7" spans="1:29" ht="13.2">
      <c r="B7" s="638"/>
      <c r="C7" s="639"/>
      <c r="D7" s="639"/>
      <c r="E7" s="640"/>
      <c r="F7" s="636"/>
    </row>
    <row r="8" spans="1:29" ht="13.2">
      <c r="B8" s="638"/>
      <c r="C8" s="639"/>
      <c r="D8" s="639"/>
      <c r="E8" s="640"/>
      <c r="F8" s="636"/>
      <c r="S8" s="840" t="s">
        <v>471</v>
      </c>
    </row>
    <row r="9" spans="1:29" ht="13.2">
      <c r="B9" s="641" t="s">
        <v>105</v>
      </c>
      <c r="C9" s="642"/>
      <c r="D9" s="642"/>
      <c r="E9" s="643"/>
      <c r="F9" s="636"/>
      <c r="G9" s="233"/>
      <c r="K9" s="233"/>
      <c r="O9" s="233"/>
    </row>
    <row r="10" spans="1:29" ht="13.2">
      <c r="B10" s="644" t="s">
        <v>195</v>
      </c>
      <c r="C10" s="645">
        <f>'Hospital Program TARGET_DESIGN'!K55</f>
        <v>574</v>
      </c>
      <c r="D10" s="645" t="s">
        <v>459</v>
      </c>
      <c r="E10" s="1004" t="e">
        <f>'Hospital Program per Floor'!K28</f>
        <v>#REF!</v>
      </c>
      <c r="F10" s="636"/>
      <c r="G10" s="647">
        <v>300</v>
      </c>
      <c r="H10" s="648" t="s">
        <v>197</v>
      </c>
      <c r="I10" s="649">
        <f>$C10*G10</f>
        <v>172200</v>
      </c>
      <c r="J10" s="650"/>
      <c r="K10" s="647">
        <f>G10*0.9</f>
        <v>270</v>
      </c>
      <c r="L10" s="648" t="s">
        <v>197</v>
      </c>
      <c r="M10" s="649">
        <f>$C10*K10</f>
        <v>154980</v>
      </c>
      <c r="N10" s="650"/>
      <c r="O10" s="651"/>
      <c r="P10" s="648"/>
      <c r="Q10" s="649"/>
    </row>
    <row r="11" spans="1:29" ht="13.2">
      <c r="B11" s="644" t="s">
        <v>198</v>
      </c>
      <c r="C11" s="1007" t="s">
        <v>457</v>
      </c>
      <c r="D11" s="1006" t="s">
        <v>458</v>
      </c>
      <c r="E11" s="951">
        <f>'Hospital Program per Floor'!O28</f>
        <v>109650</v>
      </c>
      <c r="F11" s="636"/>
      <c r="G11" s="655">
        <v>0.21</v>
      </c>
      <c r="H11" s="656" t="s">
        <v>199</v>
      </c>
      <c r="I11" s="657">
        <f>$E11*G11</f>
        <v>23026.5</v>
      </c>
      <c r="J11" s="650"/>
      <c r="K11" s="655">
        <f>G11*0.9</f>
        <v>0.189</v>
      </c>
      <c r="L11" s="656" t="s">
        <v>199</v>
      </c>
      <c r="M11" s="657">
        <f>$E11*K11</f>
        <v>20723.849999999999</v>
      </c>
      <c r="N11" s="650"/>
      <c r="O11" s="651"/>
      <c r="P11" s="656"/>
      <c r="Q11" s="657"/>
    </row>
    <row r="12" spans="1:29" ht="13.2">
      <c r="B12" s="644" t="s">
        <v>200</v>
      </c>
      <c r="C12" s="645">
        <v>23</v>
      </c>
      <c r="D12" s="645" t="s">
        <v>460</v>
      </c>
      <c r="E12" s="951">
        <f>'Hospital Program per Floor'!P28</f>
        <v>451800</v>
      </c>
      <c r="F12" s="636"/>
      <c r="G12" s="655">
        <v>0.21</v>
      </c>
      <c r="H12" s="656" t="s">
        <v>199</v>
      </c>
      <c r="I12" s="657">
        <f>$E12*G12</f>
        <v>94878</v>
      </c>
      <c r="J12" s="650"/>
      <c r="K12" s="655">
        <f t="shared" ref="K12:K13" si="0">G12*0.9</f>
        <v>0.189</v>
      </c>
      <c r="L12" s="656" t="s">
        <v>199</v>
      </c>
      <c r="M12" s="657">
        <f>$E12*K12</f>
        <v>85390.2</v>
      </c>
      <c r="N12" s="650"/>
      <c r="O12" s="658"/>
      <c r="P12" s="656"/>
      <c r="Q12" s="657"/>
    </row>
    <row r="13" spans="1:29" ht="13.2">
      <c r="B13" s="659" t="s">
        <v>201</v>
      </c>
      <c r="C13" s="660" t="s">
        <v>0</v>
      </c>
      <c r="D13" s="660"/>
      <c r="E13" s="1005" t="e">
        <f>'Hospital Program per Floor'!Q28+'Hospital Program per Floor'!R28+'Hospital Program per Floor'!S28+'Hospital Program per Floor'!T28</f>
        <v>#REF!</v>
      </c>
      <c r="F13" s="636"/>
      <c r="G13" s="662">
        <v>0.21</v>
      </c>
      <c r="H13" s="663" t="s">
        <v>199</v>
      </c>
      <c r="I13" s="664" t="e">
        <f>$E13*G13</f>
        <v>#REF!</v>
      </c>
      <c r="J13" s="650"/>
      <c r="K13" s="662">
        <f t="shared" si="0"/>
        <v>0.189</v>
      </c>
      <c r="L13" s="663" t="s">
        <v>199</v>
      </c>
      <c r="M13" s="664" t="e">
        <f>$E13*K13</f>
        <v>#REF!</v>
      </c>
      <c r="N13" s="650"/>
      <c r="O13" s="665"/>
      <c r="P13" s="663"/>
      <c r="Q13" s="664"/>
    </row>
    <row r="14" spans="1:29" ht="13.2">
      <c r="B14" s="666" t="s">
        <v>202</v>
      </c>
      <c r="C14" s="667" t="s">
        <v>0</v>
      </c>
      <c r="D14" s="666" t="s">
        <v>0</v>
      </c>
      <c r="E14" s="668" t="e">
        <f>SUM(E10:E13)</f>
        <v>#REF!</v>
      </c>
      <c r="F14" s="669"/>
      <c r="G14" s="650"/>
      <c r="H14" s="645"/>
      <c r="I14" s="667" t="e">
        <f>SUM(I10:I13)</f>
        <v>#REF!</v>
      </c>
      <c r="J14" s="650"/>
      <c r="K14" s="650"/>
      <c r="L14" s="645"/>
      <c r="M14" s="667" t="e">
        <f>SUM(M10:M13)</f>
        <v>#REF!</v>
      </c>
      <c r="N14" s="650"/>
      <c r="O14" s="647">
        <v>7</v>
      </c>
      <c r="P14" s="648" t="s">
        <v>203</v>
      </c>
      <c r="Q14" s="670" t="e">
        <f>($E14*O14)/1000</f>
        <v>#REF!</v>
      </c>
      <c r="S14" s="840" t="s">
        <v>409</v>
      </c>
    </row>
    <row r="15" spans="1:29" ht="13.2">
      <c r="B15" s="671"/>
      <c r="C15" s="667"/>
      <c r="D15" s="666"/>
      <c r="E15" s="668"/>
      <c r="F15" s="669"/>
      <c r="G15" s="650"/>
      <c r="H15" s="645"/>
      <c r="I15" s="645"/>
      <c r="J15" s="650"/>
      <c r="K15" s="650"/>
      <c r="L15" s="645"/>
      <c r="M15" s="645"/>
      <c r="N15" s="650"/>
      <c r="O15" s="650"/>
      <c r="P15" s="650"/>
      <c r="Q15" s="645"/>
    </row>
    <row r="16" spans="1:29" ht="13.2">
      <c r="B16" s="666" t="s">
        <v>138</v>
      </c>
      <c r="C16" s="667"/>
      <c r="D16" s="666"/>
      <c r="E16" s="668"/>
      <c r="F16" s="669"/>
      <c r="G16" s="650"/>
      <c r="H16" s="645"/>
      <c r="I16" s="667"/>
      <c r="J16" s="650"/>
      <c r="K16" s="650"/>
      <c r="L16" s="645"/>
      <c r="M16" s="667"/>
      <c r="N16" s="650"/>
      <c r="O16" s="672"/>
      <c r="P16" s="672"/>
      <c r="Q16" s="673"/>
    </row>
    <row r="17" spans="1:27" ht="13.8">
      <c r="A17" s="1207"/>
      <c r="B17" s="919" t="s">
        <v>204</v>
      </c>
      <c r="C17" s="920"/>
      <c r="D17" s="921"/>
      <c r="E17" s="922"/>
      <c r="F17" s="669"/>
      <c r="G17" s="923" t="s">
        <v>205</v>
      </c>
      <c r="H17" s="924" t="s">
        <v>205</v>
      </c>
      <c r="I17" s="952">
        <v>216368</v>
      </c>
      <c r="J17" s="925"/>
      <c r="K17" s="923" t="s">
        <v>205</v>
      </c>
      <c r="L17" s="924" t="s">
        <v>205</v>
      </c>
      <c r="M17" s="952">
        <v>35454</v>
      </c>
      <c r="N17" s="925"/>
      <c r="O17" s="923" t="s">
        <v>205</v>
      </c>
      <c r="P17" s="924" t="s">
        <v>205</v>
      </c>
      <c r="Q17" s="926" t="s">
        <v>205</v>
      </c>
      <c r="R17" s="702"/>
      <c r="S17" s="840"/>
    </row>
    <row r="18" spans="1:27" ht="13.2">
      <c r="A18" s="1208"/>
      <c r="B18" s="927" t="s">
        <v>206</v>
      </c>
      <c r="C18" s="928"/>
      <c r="D18" s="929"/>
      <c r="E18" s="930"/>
      <c r="F18" s="669"/>
      <c r="G18" s="931" t="s">
        <v>205</v>
      </c>
      <c r="H18" s="932" t="s">
        <v>205</v>
      </c>
      <c r="I18" s="953">
        <v>179495</v>
      </c>
      <c r="J18" s="925"/>
      <c r="K18" s="931" t="s">
        <v>205</v>
      </c>
      <c r="L18" s="932" t="s">
        <v>205</v>
      </c>
      <c r="M18" s="953">
        <v>29412</v>
      </c>
      <c r="N18" s="925"/>
      <c r="O18" s="931" t="s">
        <v>205</v>
      </c>
      <c r="P18" s="932" t="s">
        <v>205</v>
      </c>
      <c r="Q18" s="933" t="s">
        <v>205</v>
      </c>
      <c r="R18" s="702"/>
      <c r="S18" s="840"/>
    </row>
    <row r="19" spans="1:27" ht="13.8">
      <c r="A19" s="1208"/>
      <c r="B19" s="934" t="s">
        <v>207</v>
      </c>
      <c r="C19" s="935"/>
      <c r="D19" s="638"/>
      <c r="E19" s="951">
        <f>'Hospital Program per Floor'!E47</f>
        <v>90000</v>
      </c>
      <c r="F19" s="669"/>
      <c r="G19" s="936" t="s">
        <v>205</v>
      </c>
      <c r="H19" s="937" t="s">
        <v>205</v>
      </c>
      <c r="I19" s="938" t="s">
        <v>205</v>
      </c>
      <c r="J19" s="925"/>
      <c r="K19" s="936" t="s">
        <v>205</v>
      </c>
      <c r="L19" s="937" t="s">
        <v>205</v>
      </c>
      <c r="M19" s="938" t="s">
        <v>205</v>
      </c>
      <c r="N19" s="925"/>
      <c r="O19" s="939">
        <v>2.5</v>
      </c>
      <c r="P19" s="937" t="s">
        <v>203</v>
      </c>
      <c r="Q19" s="940">
        <f>($E19*O19)/1000</f>
        <v>225</v>
      </c>
    </row>
    <row r="20" spans="1:27" ht="13.2">
      <c r="A20" s="1208"/>
      <c r="B20" s="941" t="s">
        <v>208</v>
      </c>
      <c r="C20" s="942"/>
      <c r="D20" s="943"/>
      <c r="E20" s="944"/>
      <c r="F20" s="669"/>
      <c r="G20" s="945" t="s">
        <v>205</v>
      </c>
      <c r="H20" s="946" t="s">
        <v>205</v>
      </c>
      <c r="I20" s="947" t="s">
        <v>205</v>
      </c>
      <c r="J20" s="925"/>
      <c r="K20" s="945" t="s">
        <v>205</v>
      </c>
      <c r="L20" s="946" t="s">
        <v>205</v>
      </c>
      <c r="M20" s="947" t="s">
        <v>205</v>
      </c>
      <c r="N20" s="925"/>
      <c r="O20" s="945" t="s">
        <v>205</v>
      </c>
      <c r="P20" s="946" t="s">
        <v>205</v>
      </c>
      <c r="Q20" s="954">
        <v>11500</v>
      </c>
      <c r="S20" s="840"/>
    </row>
    <row r="21" spans="1:27" ht="13.8">
      <c r="A21" s="1208"/>
      <c r="B21" s="941" t="s">
        <v>209</v>
      </c>
      <c r="C21" s="942"/>
      <c r="D21" s="943"/>
      <c r="E21" s="944"/>
      <c r="F21" s="669"/>
      <c r="G21" s="945" t="s">
        <v>205</v>
      </c>
      <c r="H21" s="946" t="s">
        <v>205</v>
      </c>
      <c r="I21" s="947" t="s">
        <v>205</v>
      </c>
      <c r="J21" s="925"/>
      <c r="K21" s="945" t="s">
        <v>205</v>
      </c>
      <c r="L21" s="946" t="s">
        <v>205</v>
      </c>
      <c r="M21" s="947" t="s">
        <v>205</v>
      </c>
      <c r="N21" s="925"/>
      <c r="O21" s="945" t="s">
        <v>205</v>
      </c>
      <c r="P21" s="946" t="s">
        <v>205</v>
      </c>
      <c r="Q21" s="955">
        <v>7750</v>
      </c>
      <c r="S21" s="840"/>
    </row>
    <row r="22" spans="1:27" ht="13.2">
      <c r="A22" s="1208"/>
      <c r="B22" s="941" t="s">
        <v>210</v>
      </c>
      <c r="C22" s="942"/>
      <c r="D22" s="943"/>
      <c r="E22" s="944"/>
      <c r="F22" s="669"/>
      <c r="G22" s="945" t="s">
        <v>205</v>
      </c>
      <c r="H22" s="946" t="s">
        <v>205</v>
      </c>
      <c r="I22" s="947" t="s">
        <v>205</v>
      </c>
      <c r="J22" s="925"/>
      <c r="K22" s="945" t="s">
        <v>205</v>
      </c>
      <c r="L22" s="946" t="s">
        <v>205</v>
      </c>
      <c r="M22" s="947" t="s">
        <v>205</v>
      </c>
      <c r="N22" s="925"/>
      <c r="O22" s="945" t="s">
        <v>205</v>
      </c>
      <c r="P22" s="946" t="s">
        <v>205</v>
      </c>
      <c r="Q22" s="954">
        <v>20250</v>
      </c>
      <c r="S22" s="822" t="s">
        <v>466</v>
      </c>
      <c r="T22" s="822"/>
      <c r="U22" s="822"/>
      <c r="V22" s="822"/>
      <c r="W22" s="822"/>
      <c r="X22" s="822"/>
      <c r="Y22" s="822"/>
      <c r="Z22" s="822"/>
      <c r="AA22" s="822"/>
    </row>
    <row r="23" spans="1:27" ht="13.8">
      <c r="B23" s="638" t="s">
        <v>211</v>
      </c>
      <c r="C23" s="935" t="s">
        <v>0</v>
      </c>
      <c r="D23" s="638" t="s">
        <v>0</v>
      </c>
      <c r="E23" s="948">
        <f>SUM(E19)</f>
        <v>90000</v>
      </c>
      <c r="F23" s="669"/>
      <c r="G23" s="925"/>
      <c r="H23" s="925"/>
      <c r="I23" s="949">
        <f>I17</f>
        <v>216368</v>
      </c>
      <c r="J23" s="925"/>
      <c r="K23" s="925"/>
      <c r="L23" s="925"/>
      <c r="M23" s="949">
        <f>M17</f>
        <v>35454</v>
      </c>
      <c r="N23" s="925"/>
      <c r="O23" s="925"/>
      <c r="P23" s="925"/>
      <c r="Q23" s="950">
        <f>Q19+Q21</f>
        <v>7975</v>
      </c>
      <c r="S23" s="822" t="s">
        <v>465</v>
      </c>
    </row>
    <row r="24" spans="1:27" ht="13.2">
      <c r="B24" s="671"/>
      <c r="C24" s="667"/>
      <c r="D24" s="666"/>
      <c r="E24" s="668"/>
      <c r="F24" s="669"/>
      <c r="G24" s="650"/>
      <c r="H24" s="645"/>
      <c r="I24" s="645"/>
      <c r="J24" s="650"/>
      <c r="K24" s="650"/>
      <c r="L24" s="645"/>
      <c r="M24" s="645"/>
      <c r="N24" s="650"/>
      <c r="O24" s="650"/>
      <c r="P24" s="650"/>
      <c r="Q24" s="645"/>
    </row>
    <row r="25" spans="1:27" ht="13.2">
      <c r="B25" s="675" t="s">
        <v>212</v>
      </c>
      <c r="C25" s="673"/>
      <c r="D25" s="675"/>
      <c r="E25" s="676"/>
      <c r="F25" s="669"/>
      <c r="G25" s="672"/>
      <c r="H25" s="660"/>
      <c r="I25" s="673"/>
      <c r="J25" s="650"/>
      <c r="K25" s="672"/>
      <c r="L25" s="660"/>
      <c r="M25" s="673"/>
      <c r="N25" s="650"/>
      <c r="O25" s="672"/>
      <c r="P25" s="672"/>
      <c r="Q25" s="673"/>
    </row>
    <row r="26" spans="1:27" ht="13.2">
      <c r="B26" s="644" t="s">
        <v>157</v>
      </c>
      <c r="C26" s="667"/>
      <c r="D26" s="666" t="s">
        <v>0</v>
      </c>
      <c r="E26" s="951">
        <f>'Hospital Program per Floor'!E62</f>
        <v>535500</v>
      </c>
      <c r="F26" s="669"/>
      <c r="G26" s="647">
        <v>0</v>
      </c>
      <c r="H26" s="656" t="s">
        <v>205</v>
      </c>
      <c r="I26" s="657">
        <f>$E26*G26</f>
        <v>0</v>
      </c>
      <c r="J26" s="650"/>
      <c r="K26" s="647">
        <f>G26*0.9</f>
        <v>0</v>
      </c>
      <c r="L26" s="656" t="s">
        <v>205</v>
      </c>
      <c r="M26" s="657">
        <f>$E26*K26</f>
        <v>0</v>
      </c>
      <c r="N26" s="650"/>
      <c r="O26" s="677"/>
      <c r="P26" s="648"/>
      <c r="Q26" s="657"/>
      <c r="T26" s="678"/>
      <c r="U26" s="678"/>
      <c r="V26" s="678"/>
      <c r="W26" s="678"/>
      <c r="X26" s="678"/>
    </row>
    <row r="27" spans="1:27" ht="13.2">
      <c r="B27" s="659" t="s">
        <v>158</v>
      </c>
      <c r="C27" s="673"/>
      <c r="D27" s="675"/>
      <c r="E27" s="1005">
        <f>'Hospital Program per Floor'!E77</f>
        <v>357000</v>
      </c>
      <c r="F27" s="669"/>
      <c r="G27" s="679">
        <v>0</v>
      </c>
      <c r="H27" s="663" t="s">
        <v>205</v>
      </c>
      <c r="I27" s="664">
        <f>$E27*G27</f>
        <v>0</v>
      </c>
      <c r="J27" s="650"/>
      <c r="K27" s="679">
        <f>G27*0.9</f>
        <v>0</v>
      </c>
      <c r="L27" s="663" t="s">
        <v>205</v>
      </c>
      <c r="M27" s="664">
        <f>$E27*K27</f>
        <v>0</v>
      </c>
      <c r="N27" s="650"/>
      <c r="O27" s="680"/>
      <c r="P27" s="663"/>
      <c r="Q27" s="664"/>
      <c r="T27" s="678"/>
      <c r="U27" s="678"/>
      <c r="V27" s="678"/>
      <c r="W27" s="678"/>
      <c r="X27" s="678"/>
    </row>
    <row r="28" spans="1:27" ht="13.2">
      <c r="B28" s="666" t="s">
        <v>213</v>
      </c>
      <c r="C28" s="667" t="s">
        <v>0</v>
      </c>
      <c r="D28" s="666" t="s">
        <v>0</v>
      </c>
      <c r="E28" s="668">
        <f>SUM(E26:E27)</f>
        <v>892500</v>
      </c>
      <c r="F28" s="669"/>
      <c r="G28" s="650"/>
      <c r="H28" s="645"/>
      <c r="I28" s="667">
        <f>SUM(I26:I27)</f>
        <v>0</v>
      </c>
      <c r="J28" s="650"/>
      <c r="K28" s="650"/>
      <c r="L28" s="645"/>
      <c r="M28" s="667">
        <f>SUM(M26:M27)</f>
        <v>0</v>
      </c>
      <c r="N28" s="650"/>
      <c r="O28" s="655">
        <v>3.75</v>
      </c>
      <c r="P28" s="648" t="s">
        <v>203</v>
      </c>
      <c r="Q28" s="681">
        <f>($E28*O28)/1000</f>
        <v>3346.875</v>
      </c>
      <c r="S28" s="840" t="s">
        <v>409</v>
      </c>
    </row>
    <row r="29" spans="1:27" ht="13.2">
      <c r="B29" s="666"/>
      <c r="C29" s="667"/>
      <c r="D29" s="666"/>
      <c r="E29" s="668"/>
      <c r="F29" s="669"/>
      <c r="G29" s="650"/>
      <c r="H29" s="645"/>
      <c r="I29" s="667"/>
      <c r="J29" s="650"/>
      <c r="K29" s="650"/>
      <c r="L29" s="645"/>
      <c r="M29" s="667"/>
      <c r="N29" s="650"/>
      <c r="O29" s="650"/>
      <c r="P29" s="650"/>
      <c r="Q29" s="667"/>
    </row>
    <row r="30" spans="1:27" ht="13.2">
      <c r="B30" s="675" t="s">
        <v>214</v>
      </c>
      <c r="C30" s="673"/>
      <c r="D30" s="675"/>
      <c r="E30" s="676"/>
      <c r="F30" s="669"/>
      <c r="G30" s="672"/>
      <c r="H30" s="660"/>
      <c r="I30" s="673"/>
      <c r="J30" s="650"/>
      <c r="K30" s="672"/>
      <c r="L30" s="660"/>
      <c r="M30" s="673"/>
      <c r="N30" s="650"/>
      <c r="O30" s="672"/>
      <c r="P30" s="672"/>
      <c r="Q30" s="673"/>
    </row>
    <row r="31" spans="1:27" ht="13.2">
      <c r="A31" s="1209"/>
      <c r="B31" s="682" t="s">
        <v>473</v>
      </c>
      <c r="C31" s="683"/>
      <c r="D31" s="684" t="s">
        <v>0</v>
      </c>
      <c r="E31" s="1011">
        <v>630733</v>
      </c>
      <c r="F31" s="669"/>
      <c r="G31" s="1013">
        <v>3.0999999999999999E-3</v>
      </c>
      <c r="H31" s="685" t="s">
        <v>215</v>
      </c>
      <c r="I31" s="686">
        <f>E31*G31</f>
        <v>1955.2722999999999</v>
      </c>
      <c r="J31" s="650"/>
      <c r="K31" s="1013">
        <v>2.8E-3</v>
      </c>
      <c r="L31" s="685" t="s">
        <v>199</v>
      </c>
      <c r="M31" s="686">
        <f>E31*K31</f>
        <v>1766.0524</v>
      </c>
      <c r="N31" s="650"/>
      <c r="O31" s="687"/>
      <c r="P31" s="663"/>
      <c r="Q31" s="686"/>
      <c r="S31" s="840" t="s">
        <v>468</v>
      </c>
      <c r="T31" s="822"/>
      <c r="U31" s="822"/>
      <c r="V31" s="822"/>
      <c r="W31" s="822"/>
      <c r="X31" s="822"/>
      <c r="Y31" s="822"/>
      <c r="Z31" s="822"/>
      <c r="AA31" s="822"/>
    </row>
    <row r="32" spans="1:27" ht="13.2">
      <c r="A32" s="1210"/>
      <c r="B32" s="666" t="s">
        <v>217</v>
      </c>
      <c r="C32" s="667" t="s">
        <v>0</v>
      </c>
      <c r="D32" s="666" t="s">
        <v>0</v>
      </c>
      <c r="E32" s="1012">
        <f>SUM(E31)</f>
        <v>630733</v>
      </c>
      <c r="F32" s="669"/>
      <c r="G32" s="650"/>
      <c r="H32" s="645"/>
      <c r="I32" s="667">
        <f>SUM(I31)</f>
        <v>1955.2722999999999</v>
      </c>
      <c r="J32" s="650"/>
      <c r="K32" s="650"/>
      <c r="L32" s="645"/>
      <c r="M32" s="667">
        <f>SUM(M31)</f>
        <v>1766.0524</v>
      </c>
      <c r="N32" s="650"/>
      <c r="O32" s="655">
        <v>0.05</v>
      </c>
      <c r="P32" s="648" t="s">
        <v>203</v>
      </c>
      <c r="Q32" s="681">
        <f>($E32*O32)/1000</f>
        <v>31.536650000000002</v>
      </c>
      <c r="S32" s="840" t="s">
        <v>467</v>
      </c>
      <c r="T32" s="822"/>
      <c r="U32" s="822"/>
      <c r="V32" s="822"/>
      <c r="W32" s="822"/>
      <c r="X32" s="822"/>
      <c r="Y32" s="822"/>
      <c r="Z32" s="822"/>
      <c r="AA32" s="822"/>
    </row>
    <row r="33" spans="1:22" ht="13.2">
      <c r="B33" s="666"/>
      <c r="C33" s="667"/>
      <c r="D33" s="666"/>
      <c r="E33" s="668"/>
      <c r="F33" s="669"/>
      <c r="G33" s="650"/>
      <c r="H33" s="645"/>
      <c r="I33" s="667"/>
      <c r="J33" s="650"/>
      <c r="K33" s="650"/>
      <c r="L33" s="650"/>
      <c r="M33" s="688"/>
      <c r="N33" s="650"/>
      <c r="O33" s="650"/>
      <c r="P33" s="650"/>
      <c r="Q33" s="667"/>
      <c r="S33" s="822" t="s">
        <v>216</v>
      </c>
      <c r="V33" s="822"/>
    </row>
    <row r="34" spans="1:22" ht="13.2">
      <c r="B34" s="666"/>
      <c r="C34" s="667"/>
      <c r="D34" s="666"/>
      <c r="E34" s="668"/>
      <c r="F34" s="669"/>
      <c r="G34" s="650"/>
      <c r="H34" s="645"/>
      <c r="I34" s="667"/>
      <c r="J34" s="650"/>
      <c r="K34" s="650"/>
      <c r="L34" s="650"/>
      <c r="M34" s="688"/>
      <c r="N34" s="650"/>
      <c r="O34" s="650"/>
      <c r="P34" s="650"/>
      <c r="Q34" s="667"/>
      <c r="S34" s="822" t="s">
        <v>407</v>
      </c>
      <c r="V34" s="822"/>
    </row>
    <row r="35" spans="1:22" ht="24" customHeight="1">
      <c r="B35" s="718" t="s">
        <v>218</v>
      </c>
      <c r="C35" s="725" t="s">
        <v>0</v>
      </c>
      <c r="D35" s="726" t="s">
        <v>0</v>
      </c>
      <c r="E35" s="720" t="e">
        <f>E14+E23+E28</f>
        <v>#REF!</v>
      </c>
      <c r="F35" s="721"/>
      <c r="G35" s="727" t="s">
        <v>0</v>
      </c>
      <c r="H35" s="728" t="s">
        <v>0</v>
      </c>
      <c r="I35" s="720" t="e">
        <f>I14+I23+I28</f>
        <v>#REF!</v>
      </c>
      <c r="J35" s="724"/>
      <c r="K35" s="727" t="s">
        <v>0</v>
      </c>
      <c r="L35" s="728" t="s">
        <v>0</v>
      </c>
      <c r="M35" s="720" t="e">
        <f>M14+M23+M28</f>
        <v>#REF!</v>
      </c>
      <c r="N35" s="724"/>
      <c r="O35" s="727" t="s">
        <v>0</v>
      </c>
      <c r="P35" s="728" t="s">
        <v>0</v>
      </c>
      <c r="Q35" s="720" t="e">
        <f>Q14+Q23+Q28</f>
        <v>#REF!</v>
      </c>
    </row>
    <row r="36" spans="1:22" ht="13.2">
      <c r="B36" s="689" t="s">
        <v>219</v>
      </c>
      <c r="C36" s="690" t="s">
        <v>0</v>
      </c>
      <c r="D36" s="689" t="s">
        <v>0</v>
      </c>
      <c r="E36" s="1014">
        <f>E32</f>
        <v>630733</v>
      </c>
      <c r="F36" s="669"/>
      <c r="G36" s="1015" t="s">
        <v>0</v>
      </c>
      <c r="H36" s="1016" t="s">
        <v>0</v>
      </c>
      <c r="I36" s="1014">
        <f>I32</f>
        <v>1955.2722999999999</v>
      </c>
      <c r="J36" s="638"/>
      <c r="K36" s="1015" t="s">
        <v>0</v>
      </c>
      <c r="L36" s="1016" t="s">
        <v>0</v>
      </c>
      <c r="M36" s="1014">
        <f>M32</f>
        <v>1766.0524</v>
      </c>
      <c r="N36" s="638"/>
      <c r="O36" s="1015" t="s">
        <v>0</v>
      </c>
      <c r="P36" s="1016" t="s">
        <v>0</v>
      </c>
      <c r="Q36" s="1014">
        <f>Q32</f>
        <v>31.536650000000002</v>
      </c>
    </row>
    <row r="37" spans="1:22" ht="13.2">
      <c r="B37" s="666" t="s">
        <v>0</v>
      </c>
      <c r="C37" s="667"/>
      <c r="D37" s="666"/>
      <c r="E37" s="668"/>
      <c r="F37" s="669"/>
      <c r="G37" s="650"/>
      <c r="H37" s="650"/>
      <c r="I37" s="650"/>
      <c r="J37" s="650"/>
      <c r="K37" s="650"/>
      <c r="L37" s="650"/>
      <c r="M37" s="650"/>
      <c r="N37" s="650"/>
      <c r="O37" s="650"/>
      <c r="P37" s="650"/>
      <c r="Q37" s="650"/>
    </row>
    <row r="38" spans="1:22" ht="13.2">
      <c r="B38" s="641" t="s">
        <v>220</v>
      </c>
      <c r="C38" s="642"/>
      <c r="D38" s="642"/>
      <c r="E38" s="643"/>
      <c r="F38" s="636"/>
      <c r="G38" s="233"/>
      <c r="H38" s="233"/>
      <c r="I38" s="233"/>
      <c r="K38" s="233"/>
      <c r="L38" s="233"/>
      <c r="M38" s="233"/>
      <c r="O38" s="233"/>
      <c r="P38" s="233"/>
      <c r="Q38" s="660"/>
    </row>
    <row r="39" spans="1:22" ht="13.2">
      <c r="B39" s="644" t="s">
        <v>221</v>
      </c>
      <c r="C39" s="701">
        <f>'Campus MASTER PLAN'!E43</f>
        <v>240</v>
      </c>
      <c r="D39" s="645" t="s">
        <v>84</v>
      </c>
      <c r="E39" s="646">
        <f>'Campus MASTER PLAN'!I43</f>
        <v>200000</v>
      </c>
      <c r="F39" s="669"/>
      <c r="G39" s="647">
        <v>130</v>
      </c>
      <c r="H39" s="656" t="s">
        <v>222</v>
      </c>
      <c r="I39" s="649">
        <f>$C39*G39</f>
        <v>31200</v>
      </c>
      <c r="J39" s="650"/>
      <c r="K39" s="647">
        <f>G39*0.9</f>
        <v>117</v>
      </c>
      <c r="L39" s="656" t="s">
        <v>222</v>
      </c>
      <c r="M39" s="649">
        <f>$C39*K39</f>
        <v>28080</v>
      </c>
      <c r="N39" s="650"/>
      <c r="O39" s="691">
        <v>1.2</v>
      </c>
      <c r="P39" s="648" t="s">
        <v>203</v>
      </c>
      <c r="Q39" s="649">
        <f>($E39*O39)/1000</f>
        <v>240</v>
      </c>
    </row>
    <row r="40" spans="1:22" ht="13.2">
      <c r="B40" s="644" t="s">
        <v>223</v>
      </c>
      <c r="C40" s="645" t="s">
        <v>0</v>
      </c>
      <c r="D40" s="653" t="s">
        <v>0</v>
      </c>
      <c r="E40" s="692">
        <f>'Campus MASTER PLAN'!I28+'Campus MASTER PLAN'!I32</f>
        <v>90000</v>
      </c>
      <c r="F40" s="669"/>
      <c r="G40" s="655">
        <v>0.13</v>
      </c>
      <c r="H40" s="656" t="s">
        <v>199</v>
      </c>
      <c r="I40" s="657">
        <f>$E40*G40</f>
        <v>11700</v>
      </c>
      <c r="J40" s="650"/>
      <c r="K40" s="655">
        <f>G40*0.9</f>
        <v>0.11700000000000001</v>
      </c>
      <c r="L40" s="656" t="s">
        <v>199</v>
      </c>
      <c r="M40" s="657">
        <f>$E40*K40</f>
        <v>10530</v>
      </c>
      <c r="N40" s="650"/>
      <c r="O40" s="647">
        <v>5</v>
      </c>
      <c r="P40" s="656" t="s">
        <v>203</v>
      </c>
      <c r="Q40" s="657">
        <f>($E40*O40)/1000</f>
        <v>450</v>
      </c>
    </row>
    <row r="41" spans="1:22" ht="13.2">
      <c r="B41" s="644" t="s">
        <v>224</v>
      </c>
      <c r="C41" s="645" t="s">
        <v>0</v>
      </c>
      <c r="D41" s="645"/>
      <c r="E41" s="692">
        <f>'Campus MASTER PLAN'!I36</f>
        <v>70000</v>
      </c>
      <c r="F41" s="669"/>
      <c r="G41" s="655">
        <v>0.13</v>
      </c>
      <c r="H41" s="656" t="s">
        <v>199</v>
      </c>
      <c r="I41" s="657">
        <f>$E41*G41</f>
        <v>9100</v>
      </c>
      <c r="J41" s="650"/>
      <c r="K41" s="655">
        <f t="shared" ref="K41:K42" si="1">G41*0.9</f>
        <v>0.11700000000000001</v>
      </c>
      <c r="L41" s="656" t="s">
        <v>199</v>
      </c>
      <c r="M41" s="657">
        <f>$E41*K41</f>
        <v>8190.0000000000009</v>
      </c>
      <c r="N41" s="650"/>
      <c r="O41" s="655">
        <v>2.25</v>
      </c>
      <c r="P41" s="656" t="s">
        <v>203</v>
      </c>
      <c r="Q41" s="657">
        <f>($E41*O41)/1000</f>
        <v>157.5</v>
      </c>
    </row>
    <row r="42" spans="1:22" ht="13.2">
      <c r="B42" s="659" t="s">
        <v>235</v>
      </c>
      <c r="C42" s="660" t="s">
        <v>0</v>
      </c>
      <c r="D42" s="660"/>
      <c r="E42" s="693">
        <f>'Campus MASTER PLAN'!I47</f>
        <v>125000</v>
      </c>
      <c r="F42" s="669"/>
      <c r="G42" s="662">
        <v>0.13</v>
      </c>
      <c r="H42" s="663" t="s">
        <v>199</v>
      </c>
      <c r="I42" s="664">
        <f>$E42*G42</f>
        <v>16250</v>
      </c>
      <c r="J42" s="650"/>
      <c r="K42" s="662">
        <f t="shared" si="1"/>
        <v>0.11700000000000001</v>
      </c>
      <c r="L42" s="663" t="s">
        <v>199</v>
      </c>
      <c r="M42" s="664">
        <f>$E42*K42</f>
        <v>14625</v>
      </c>
      <c r="N42" s="650"/>
      <c r="O42" s="694">
        <v>1.5</v>
      </c>
      <c r="P42" s="663" t="s">
        <v>203</v>
      </c>
      <c r="Q42" s="664">
        <f>($E42*O42)/1000</f>
        <v>187.5</v>
      </c>
    </row>
    <row r="43" spans="1:22" ht="13.2">
      <c r="B43" s="666" t="s">
        <v>244</v>
      </c>
      <c r="C43" s="645"/>
      <c r="D43" s="645"/>
      <c r="E43" s="692">
        <f>SUM(E39:E42)</f>
        <v>485000</v>
      </c>
      <c r="F43" s="669"/>
      <c r="G43" s="655"/>
      <c r="H43" s="656"/>
      <c r="I43" s="657">
        <f>SUM(I39:I42)</f>
        <v>68250</v>
      </c>
      <c r="J43" s="650"/>
      <c r="K43" s="655"/>
      <c r="L43" s="656"/>
      <c r="M43" s="657">
        <f>SUM(M39:M42)</f>
        <v>61425</v>
      </c>
      <c r="N43" s="650"/>
      <c r="O43" s="705"/>
      <c r="P43" s="648"/>
      <c r="Q43" s="649">
        <f>SUM(Q39:Q42)</f>
        <v>1035</v>
      </c>
    </row>
    <row r="44" spans="1:22" ht="13.2">
      <c r="B44" s="644"/>
      <c r="C44" s="645"/>
      <c r="D44" s="645"/>
      <c r="E44" s="692"/>
      <c r="F44" s="669"/>
      <c r="G44" s="655"/>
      <c r="H44" s="656"/>
      <c r="I44" s="657"/>
      <c r="J44" s="650"/>
      <c r="K44" s="655"/>
      <c r="L44" s="656"/>
      <c r="M44" s="657"/>
      <c r="N44" s="650"/>
      <c r="O44" s="691"/>
      <c r="P44" s="656"/>
      <c r="Q44" s="657"/>
    </row>
    <row r="45" spans="1:22" ht="13.2">
      <c r="B45" s="675" t="s">
        <v>138</v>
      </c>
      <c r="C45" s="673"/>
      <c r="D45" s="675"/>
      <c r="E45" s="676"/>
      <c r="F45" s="669"/>
      <c r="G45" s="650"/>
      <c r="H45" s="645"/>
      <c r="I45" s="667"/>
      <c r="J45" s="650"/>
      <c r="K45" s="650"/>
      <c r="L45" s="645"/>
      <c r="M45" s="667"/>
      <c r="N45" s="650"/>
      <c r="O45" s="672"/>
      <c r="P45" s="672"/>
      <c r="Q45" s="673"/>
    </row>
    <row r="46" spans="1:22" ht="13.8">
      <c r="A46" s="1207"/>
      <c r="B46" s="927" t="s">
        <v>398</v>
      </c>
      <c r="C46" s="928"/>
      <c r="D46" s="674"/>
      <c r="E46" s="930"/>
      <c r="F46" s="669"/>
      <c r="G46" s="923" t="s">
        <v>205</v>
      </c>
      <c r="H46" s="924" t="s">
        <v>205</v>
      </c>
      <c r="I46" s="952">
        <v>120989</v>
      </c>
      <c r="J46" s="925"/>
      <c r="K46" s="923" t="s">
        <v>205</v>
      </c>
      <c r="L46" s="924" t="s">
        <v>205</v>
      </c>
      <c r="M46" s="952">
        <v>19825</v>
      </c>
      <c r="N46" s="925"/>
      <c r="O46" s="931" t="s">
        <v>205</v>
      </c>
      <c r="P46" s="932" t="s">
        <v>205</v>
      </c>
      <c r="Q46" s="933" t="s">
        <v>205</v>
      </c>
      <c r="R46" s="702"/>
      <c r="S46" s="840"/>
    </row>
    <row r="47" spans="1:22" ht="13.2">
      <c r="A47" s="1208"/>
      <c r="B47" s="927" t="s">
        <v>399</v>
      </c>
      <c r="C47" s="928"/>
      <c r="D47" s="674"/>
      <c r="E47" s="930"/>
      <c r="F47" s="669"/>
      <c r="G47" s="931" t="s">
        <v>205</v>
      </c>
      <c r="H47" s="932" t="s">
        <v>205</v>
      </c>
      <c r="I47" s="953">
        <v>100937</v>
      </c>
      <c r="J47" s="925"/>
      <c r="K47" s="931" t="s">
        <v>205</v>
      </c>
      <c r="L47" s="932" t="s">
        <v>205</v>
      </c>
      <c r="M47" s="953">
        <v>16539</v>
      </c>
      <c r="N47" s="925"/>
      <c r="O47" s="931" t="s">
        <v>205</v>
      </c>
      <c r="P47" s="932" t="s">
        <v>205</v>
      </c>
      <c r="Q47" s="933" t="s">
        <v>205</v>
      </c>
      <c r="R47" s="702"/>
      <c r="S47" s="840"/>
    </row>
    <row r="48" spans="1:22" ht="13.8">
      <c r="A48" s="1208"/>
      <c r="B48" s="934" t="s">
        <v>207</v>
      </c>
      <c r="C48" s="935"/>
      <c r="D48" s="666"/>
      <c r="E48" s="951">
        <v>10000</v>
      </c>
      <c r="F48" s="669"/>
      <c r="G48" s="936" t="s">
        <v>205</v>
      </c>
      <c r="H48" s="937" t="s">
        <v>205</v>
      </c>
      <c r="I48" s="938" t="s">
        <v>205</v>
      </c>
      <c r="J48" s="925"/>
      <c r="K48" s="936" t="s">
        <v>205</v>
      </c>
      <c r="L48" s="937" t="s">
        <v>205</v>
      </c>
      <c r="M48" s="938" t="s">
        <v>205</v>
      </c>
      <c r="N48" s="925"/>
      <c r="O48" s="939">
        <v>2.5</v>
      </c>
      <c r="P48" s="937" t="s">
        <v>203</v>
      </c>
      <c r="Q48" s="940">
        <f>($E48*O48)/1000</f>
        <v>25</v>
      </c>
      <c r="R48" s="702"/>
    </row>
    <row r="49" spans="1:27" ht="13.2">
      <c r="A49" s="1208"/>
      <c r="B49" s="941" t="s">
        <v>208</v>
      </c>
      <c r="C49" s="942"/>
      <c r="D49" s="703"/>
      <c r="E49" s="944"/>
      <c r="F49" s="669"/>
      <c r="G49" s="945" t="s">
        <v>205</v>
      </c>
      <c r="H49" s="946" t="s">
        <v>205</v>
      </c>
      <c r="I49" s="946" t="s">
        <v>205</v>
      </c>
      <c r="J49" s="925"/>
      <c r="K49" s="945" t="s">
        <v>205</v>
      </c>
      <c r="L49" s="946" t="s">
        <v>205</v>
      </c>
      <c r="M49" s="946" t="s">
        <v>205</v>
      </c>
      <c r="N49" s="925"/>
      <c r="O49" s="945" t="s">
        <v>205</v>
      </c>
      <c r="P49" s="946" t="s">
        <v>205</v>
      </c>
      <c r="Q49" s="954">
        <v>4000</v>
      </c>
      <c r="S49" s="840"/>
    </row>
    <row r="50" spans="1:27" ht="13.8">
      <c r="A50" s="1208"/>
      <c r="B50" s="941" t="s">
        <v>226</v>
      </c>
      <c r="C50" s="942"/>
      <c r="D50" s="703"/>
      <c r="E50" s="944"/>
      <c r="F50" s="669"/>
      <c r="G50" s="945" t="s">
        <v>205</v>
      </c>
      <c r="H50" s="946" t="s">
        <v>205</v>
      </c>
      <c r="I50" s="946" t="s">
        <v>205</v>
      </c>
      <c r="J50" s="925"/>
      <c r="K50" s="945" t="s">
        <v>205</v>
      </c>
      <c r="L50" s="946" t="s">
        <v>205</v>
      </c>
      <c r="M50" s="946" t="s">
        <v>205</v>
      </c>
      <c r="N50" s="925"/>
      <c r="O50" s="945" t="s">
        <v>205</v>
      </c>
      <c r="P50" s="946" t="s">
        <v>205</v>
      </c>
      <c r="Q50" s="955">
        <v>3000</v>
      </c>
      <c r="S50" s="840"/>
    </row>
    <row r="51" spans="1:27" ht="13.2">
      <c r="A51" s="1208"/>
      <c r="B51" s="1017" t="s">
        <v>227</v>
      </c>
      <c r="C51" s="1018"/>
      <c r="D51" s="704"/>
      <c r="E51" s="957"/>
      <c r="F51" s="669"/>
      <c r="G51" s="958" t="s">
        <v>205</v>
      </c>
      <c r="H51" s="959" t="s">
        <v>205</v>
      </c>
      <c r="I51" s="960" t="s">
        <v>205</v>
      </c>
      <c r="J51" s="937"/>
      <c r="K51" s="958" t="s">
        <v>205</v>
      </c>
      <c r="L51" s="959" t="s">
        <v>205</v>
      </c>
      <c r="M51" s="960" t="s">
        <v>205</v>
      </c>
      <c r="N51" s="925"/>
      <c r="O51" s="958" t="s">
        <v>205</v>
      </c>
      <c r="P51" s="959" t="s">
        <v>205</v>
      </c>
      <c r="Q51" s="956">
        <v>12250</v>
      </c>
      <c r="S51" s="822" t="s">
        <v>466</v>
      </c>
      <c r="T51" s="822"/>
      <c r="U51" s="822"/>
      <c r="V51" s="822"/>
      <c r="W51" s="822"/>
      <c r="X51" s="822"/>
      <c r="Y51" s="822"/>
      <c r="Z51" s="822"/>
      <c r="AA51" s="822"/>
    </row>
    <row r="52" spans="1:27" ht="13.8">
      <c r="B52" s="666" t="s">
        <v>228</v>
      </c>
      <c r="C52" s="667" t="s">
        <v>0</v>
      </c>
      <c r="D52" s="666" t="s">
        <v>0</v>
      </c>
      <c r="E52" s="961">
        <f>SUM(E48)</f>
        <v>10000</v>
      </c>
      <c r="F52" s="669"/>
      <c r="G52" s="925"/>
      <c r="H52" s="925"/>
      <c r="I52" s="962">
        <f>I46</f>
        <v>120989</v>
      </c>
      <c r="J52" s="925"/>
      <c r="K52" s="925"/>
      <c r="L52" s="925"/>
      <c r="M52" s="962">
        <f>M46</f>
        <v>19825</v>
      </c>
      <c r="N52" s="925"/>
      <c r="O52" s="925"/>
      <c r="P52" s="925"/>
      <c r="Q52" s="950">
        <f>Q48+Q50</f>
        <v>3025</v>
      </c>
      <c r="S52" s="822" t="s">
        <v>465</v>
      </c>
    </row>
    <row r="53" spans="1:27" ht="13.2">
      <c r="B53" s="671"/>
      <c r="C53" s="667"/>
      <c r="D53" s="666"/>
      <c r="E53" s="668"/>
      <c r="F53" s="669"/>
      <c r="G53" s="650"/>
      <c r="H53" s="645"/>
      <c r="I53" s="645"/>
      <c r="J53" s="650"/>
      <c r="K53" s="650"/>
      <c r="L53" s="645"/>
      <c r="M53" s="645"/>
      <c r="N53" s="650"/>
      <c r="O53" s="650"/>
      <c r="P53" s="650"/>
      <c r="Q53" s="645"/>
    </row>
    <row r="54" spans="1:27" ht="13.2">
      <c r="B54" s="666" t="s">
        <v>229</v>
      </c>
      <c r="C54" s="667" t="s">
        <v>0</v>
      </c>
      <c r="D54" s="666" t="s">
        <v>0</v>
      </c>
      <c r="E54" s="668">
        <f>E43</f>
        <v>485000</v>
      </c>
      <c r="F54" s="669"/>
      <c r="G54" s="650"/>
      <c r="H54" s="645"/>
      <c r="I54" s="667">
        <f>I43</f>
        <v>68250</v>
      </c>
      <c r="J54" s="650"/>
      <c r="K54" s="650"/>
      <c r="L54" s="645"/>
      <c r="M54" s="667">
        <f>M43</f>
        <v>61425</v>
      </c>
      <c r="N54" s="650"/>
      <c r="O54" s="650"/>
      <c r="P54" s="650"/>
      <c r="Q54" s="667">
        <f>Q43</f>
        <v>1035</v>
      </c>
    </row>
    <row r="55" spans="1:27" ht="13.2">
      <c r="B55" s="666"/>
      <c r="C55" s="667"/>
      <c r="D55" s="666"/>
      <c r="E55" s="668"/>
      <c r="F55" s="669"/>
      <c r="G55" s="650"/>
      <c r="H55" s="645"/>
      <c r="I55" s="667"/>
      <c r="J55" s="650"/>
      <c r="K55" s="650"/>
      <c r="L55" s="645"/>
      <c r="M55" s="667"/>
      <c r="N55" s="650"/>
      <c r="O55" s="650"/>
      <c r="P55" s="650"/>
      <c r="Q55" s="667"/>
    </row>
    <row r="56" spans="1:27" ht="13.2">
      <c r="B56" s="675" t="s">
        <v>212</v>
      </c>
      <c r="C56" s="673"/>
      <c r="D56" s="675"/>
      <c r="E56" s="676"/>
      <c r="F56" s="669"/>
      <c r="G56" s="672"/>
      <c r="H56" s="645"/>
      <c r="I56" s="673"/>
      <c r="J56" s="650"/>
      <c r="K56" s="672"/>
      <c r="L56" s="645"/>
      <c r="M56" s="673"/>
      <c r="N56" s="650"/>
      <c r="O56" s="672"/>
      <c r="P56" s="650"/>
      <c r="Q56" s="673"/>
    </row>
    <row r="57" spans="1:27" ht="13.2">
      <c r="B57" s="644" t="s">
        <v>223</v>
      </c>
      <c r="C57" s="667"/>
      <c r="D57" s="666" t="s">
        <v>0</v>
      </c>
      <c r="E57" s="654">
        <f>'Campus MASTER PLAN'!I54</f>
        <v>45850</v>
      </c>
      <c r="F57" s="669"/>
      <c r="G57" s="647">
        <v>0</v>
      </c>
      <c r="H57" s="648" t="s">
        <v>205</v>
      </c>
      <c r="I57" s="657">
        <f>$E57*G57</f>
        <v>0</v>
      </c>
      <c r="J57" s="650"/>
      <c r="K57" s="647">
        <f>G57*0.9</f>
        <v>0</v>
      </c>
      <c r="L57" s="648" t="s">
        <v>205</v>
      </c>
      <c r="M57" s="657">
        <f>$E57*K57</f>
        <v>0</v>
      </c>
      <c r="N57" s="650"/>
      <c r="O57" s="677"/>
      <c r="P57" s="648"/>
      <c r="Q57" s="657"/>
      <c r="T57" s="678"/>
      <c r="U57" s="678"/>
      <c r="V57" s="678"/>
      <c r="W57" s="678"/>
      <c r="X57" s="678"/>
    </row>
    <row r="58" spans="1:27" ht="13.2">
      <c r="B58" s="644" t="s">
        <v>55</v>
      </c>
      <c r="C58" s="667"/>
      <c r="D58" s="666"/>
      <c r="E58" s="654">
        <f>'Campus MASTER PLAN'!I55</f>
        <v>47950</v>
      </c>
      <c r="F58" s="669"/>
      <c r="G58" s="647"/>
      <c r="H58" s="656"/>
      <c r="I58" s="657"/>
      <c r="J58" s="650"/>
      <c r="K58" s="647"/>
      <c r="L58" s="656"/>
      <c r="M58" s="657"/>
      <c r="N58" s="650"/>
      <c r="O58" s="677"/>
      <c r="P58" s="656"/>
      <c r="Q58" s="657"/>
      <c r="T58" s="678"/>
      <c r="U58" s="678"/>
      <c r="V58" s="678"/>
      <c r="W58" s="678"/>
      <c r="X58" s="678"/>
    </row>
    <row r="59" spans="1:27" ht="13.2">
      <c r="B59" s="644" t="s">
        <v>234</v>
      </c>
      <c r="C59" s="667"/>
      <c r="D59" s="666"/>
      <c r="E59" s="654">
        <f>'Campus MASTER PLAN'!I56</f>
        <v>103250</v>
      </c>
      <c r="F59" s="669"/>
      <c r="G59" s="647"/>
      <c r="H59" s="656"/>
      <c r="I59" s="657"/>
      <c r="J59" s="650"/>
      <c r="K59" s="647"/>
      <c r="L59" s="656"/>
      <c r="M59" s="657"/>
      <c r="N59" s="650"/>
      <c r="O59" s="677"/>
      <c r="P59" s="656"/>
      <c r="Q59" s="657"/>
      <c r="T59" s="678"/>
      <c r="U59" s="678"/>
      <c r="V59" s="678"/>
      <c r="W59" s="678"/>
      <c r="X59" s="678"/>
    </row>
    <row r="60" spans="1:27" ht="13.2">
      <c r="B60" s="659" t="s">
        <v>235</v>
      </c>
      <c r="C60" s="673"/>
      <c r="D60" s="675"/>
      <c r="E60" s="661">
        <f>'Campus MASTER PLAN'!I57</f>
        <v>156800</v>
      </c>
      <c r="F60" s="669"/>
      <c r="G60" s="679">
        <v>0</v>
      </c>
      <c r="H60" s="663" t="s">
        <v>205</v>
      </c>
      <c r="I60" s="664">
        <f>$E60*G60</f>
        <v>0</v>
      </c>
      <c r="J60" s="650"/>
      <c r="K60" s="679">
        <f>G60*0.9</f>
        <v>0</v>
      </c>
      <c r="L60" s="663" t="s">
        <v>205</v>
      </c>
      <c r="M60" s="664">
        <f>$E60*K60</f>
        <v>0</v>
      </c>
      <c r="N60" s="650"/>
      <c r="O60" s="680"/>
      <c r="P60" s="663"/>
      <c r="Q60" s="664"/>
      <c r="T60" s="678"/>
      <c r="U60" s="678"/>
      <c r="V60" s="678"/>
      <c r="W60" s="678"/>
      <c r="X60" s="678"/>
    </row>
    <row r="61" spans="1:27" ht="13.2">
      <c r="B61" s="666" t="s">
        <v>474</v>
      </c>
      <c r="C61" s="667" t="s">
        <v>0</v>
      </c>
      <c r="D61" s="666" t="s">
        <v>0</v>
      </c>
      <c r="E61" s="668">
        <f>SUM(E57:E60)</f>
        <v>353850</v>
      </c>
      <c r="F61" s="669"/>
      <c r="G61" s="650"/>
      <c r="H61" s="645"/>
      <c r="I61" s="667">
        <f>SUM(I57:I60)</f>
        <v>0</v>
      </c>
      <c r="J61" s="650"/>
      <c r="K61" s="650"/>
      <c r="L61" s="645"/>
      <c r="M61" s="667">
        <f>SUM(M57:M60)</f>
        <v>0</v>
      </c>
      <c r="N61" s="650"/>
      <c r="O61" s="655">
        <v>3.75</v>
      </c>
      <c r="P61" s="648" t="s">
        <v>203</v>
      </c>
      <c r="Q61" s="681">
        <f>($E61*O61)/1000</f>
        <v>1326.9375</v>
      </c>
    </row>
    <row r="62" spans="1:27" ht="13.2">
      <c r="B62" s="666"/>
      <c r="C62" s="667"/>
      <c r="D62" s="666"/>
      <c r="E62" s="668"/>
      <c r="F62" s="669"/>
      <c r="G62" s="650"/>
      <c r="H62" s="645"/>
      <c r="I62" s="667"/>
      <c r="J62" s="650"/>
      <c r="K62" s="650"/>
      <c r="L62" s="645"/>
      <c r="M62" s="667"/>
      <c r="N62" s="650"/>
      <c r="O62" s="655"/>
      <c r="P62" s="656"/>
      <c r="Q62" s="681"/>
    </row>
    <row r="63" spans="1:27" ht="13.2">
      <c r="B63" s="675" t="s">
        <v>214</v>
      </c>
      <c r="C63" s="673"/>
      <c r="D63" s="675"/>
      <c r="E63" s="676"/>
      <c r="F63" s="669"/>
      <c r="G63" s="672"/>
      <c r="H63" s="660"/>
      <c r="I63" s="673"/>
      <c r="J63" s="650"/>
      <c r="K63" s="672"/>
      <c r="L63" s="660"/>
      <c r="M63" s="673"/>
      <c r="N63" s="650"/>
      <c r="O63" s="672"/>
      <c r="P63" s="672"/>
      <c r="Q63" s="673"/>
    </row>
    <row r="64" spans="1:27" ht="13.2">
      <c r="B64" s="682" t="s">
        <v>473</v>
      </c>
      <c r="C64" s="683"/>
      <c r="D64" s="684" t="s">
        <v>0</v>
      </c>
      <c r="E64" s="1011">
        <f>935295-(150000+250000)</f>
        <v>535295</v>
      </c>
      <c r="F64" s="669"/>
      <c r="G64" s="1013">
        <v>3.0999999999999999E-3</v>
      </c>
      <c r="H64" s="685" t="s">
        <v>215</v>
      </c>
      <c r="I64" s="686">
        <f>E64*G64</f>
        <v>1659.4144999999999</v>
      </c>
      <c r="J64" s="650"/>
      <c r="K64" s="1013">
        <v>2.8E-3</v>
      </c>
      <c r="L64" s="685" t="s">
        <v>199</v>
      </c>
      <c r="M64" s="686">
        <f>E64*K64</f>
        <v>1498.826</v>
      </c>
      <c r="N64" s="650"/>
      <c r="O64" s="687"/>
      <c r="P64" s="663"/>
      <c r="Q64" s="686"/>
      <c r="S64" s="840" t="s">
        <v>464</v>
      </c>
    </row>
    <row r="65" spans="1:25" ht="13.2">
      <c r="B65" s="666" t="s">
        <v>463</v>
      </c>
      <c r="C65" s="667" t="s">
        <v>0</v>
      </c>
      <c r="D65" s="666" t="s">
        <v>0</v>
      </c>
      <c r="E65" s="1012">
        <f>SUM(E64)</f>
        <v>535295</v>
      </c>
      <c r="F65" s="669"/>
      <c r="G65" s="650"/>
      <c r="H65" s="645"/>
      <c r="I65" s="667">
        <f>SUM(I64)</f>
        <v>1659.4144999999999</v>
      </c>
      <c r="J65" s="650"/>
      <c r="K65" s="650"/>
      <c r="L65" s="645"/>
      <c r="M65" s="667">
        <f>SUM(M64)</f>
        <v>1498.826</v>
      </c>
      <c r="N65" s="650"/>
      <c r="O65" s="655">
        <v>0.05</v>
      </c>
      <c r="P65" s="648" t="s">
        <v>203</v>
      </c>
      <c r="Q65" s="681">
        <f>($E65*O65)/1000</f>
        <v>26.764749999999999</v>
      </c>
      <c r="S65" s="840" t="s">
        <v>469</v>
      </c>
    </row>
    <row r="66" spans="1:25" ht="13.2">
      <c r="B66" s="666"/>
      <c r="C66" s="667"/>
      <c r="D66" s="666"/>
      <c r="E66" s="668"/>
      <c r="F66" s="669"/>
      <c r="G66" s="650"/>
      <c r="H66" s="645"/>
      <c r="I66" s="667"/>
      <c r="J66" s="650"/>
      <c r="K66" s="650"/>
      <c r="L66" s="645"/>
      <c r="M66" s="667"/>
      <c r="N66" s="650"/>
      <c r="O66" s="650"/>
      <c r="P66" s="650"/>
      <c r="Q66" s="667"/>
    </row>
    <row r="67" spans="1:25" ht="13.2">
      <c r="B67" s="666"/>
      <c r="C67" s="667"/>
      <c r="D67" s="666"/>
      <c r="E67" s="668"/>
      <c r="F67" s="669"/>
      <c r="G67" s="650"/>
      <c r="H67" s="645"/>
      <c r="I67" s="667"/>
      <c r="J67" s="650"/>
      <c r="K67" s="650"/>
      <c r="L67" s="645"/>
      <c r="M67" s="667"/>
      <c r="N67" s="650"/>
      <c r="O67" s="650"/>
      <c r="P67" s="650"/>
      <c r="Q67" s="667"/>
    </row>
    <row r="68" spans="1:25" ht="24" customHeight="1">
      <c r="B68" s="718" t="s">
        <v>229</v>
      </c>
      <c r="C68" s="719" t="s">
        <v>0</v>
      </c>
      <c r="D68" s="718" t="s">
        <v>0</v>
      </c>
      <c r="E68" s="720">
        <f>E54+E61+E65</f>
        <v>1374145</v>
      </c>
      <c r="F68" s="721"/>
      <c r="G68" s="722" t="s">
        <v>0</v>
      </c>
      <c r="H68" s="723" t="s">
        <v>0</v>
      </c>
      <c r="I68" s="720">
        <f>I54+I61+I65</f>
        <v>69909.414499999999</v>
      </c>
      <c r="J68" s="724"/>
      <c r="K68" s="722" t="s">
        <v>0</v>
      </c>
      <c r="L68" s="723" t="s">
        <v>0</v>
      </c>
      <c r="M68" s="720">
        <f>M54+M61+M65</f>
        <v>62923.826000000001</v>
      </c>
      <c r="N68" s="724"/>
      <c r="O68" s="722" t="s">
        <v>0</v>
      </c>
      <c r="P68" s="723" t="s">
        <v>0</v>
      </c>
      <c r="Q68" s="720">
        <f>Q52+Q54+Q61+Q65</f>
        <v>5413.7022500000003</v>
      </c>
    </row>
    <row r="69" spans="1:25" ht="13.2">
      <c r="B69" s="689" t="s">
        <v>219</v>
      </c>
      <c r="C69" s="690" t="s">
        <v>0</v>
      </c>
      <c r="D69" s="689" t="s">
        <v>0</v>
      </c>
      <c r="E69" s="1014">
        <f>E65</f>
        <v>535295</v>
      </c>
      <c r="F69" s="669"/>
      <c r="G69" s="1015" t="s">
        <v>0</v>
      </c>
      <c r="H69" s="1016" t="s">
        <v>0</v>
      </c>
      <c r="I69" s="1014">
        <f>I65</f>
        <v>1659.4144999999999</v>
      </c>
      <c r="J69" s="638"/>
      <c r="K69" s="1015" t="s">
        <v>0</v>
      </c>
      <c r="L69" s="1016" t="s">
        <v>0</v>
      </c>
      <c r="M69" s="1014">
        <f>M65</f>
        <v>1498.826</v>
      </c>
      <c r="N69" s="638"/>
      <c r="O69" s="1015" t="s">
        <v>0</v>
      </c>
      <c r="P69" s="1016" t="s">
        <v>0</v>
      </c>
      <c r="Q69" s="1014">
        <f>Q65</f>
        <v>26.764749999999999</v>
      </c>
    </row>
    <row r="70" spans="1:25" ht="13.8" thickBot="1">
      <c r="B70" s="695"/>
      <c r="C70" s="696"/>
      <c r="D70" s="697"/>
      <c r="E70" s="698"/>
      <c r="F70" s="669"/>
      <c r="G70" s="696"/>
      <c r="H70" s="697"/>
      <c r="I70" s="696"/>
      <c r="J70" s="650"/>
      <c r="K70" s="696"/>
      <c r="L70" s="697"/>
      <c r="M70" s="696"/>
      <c r="N70" s="650"/>
      <c r="O70" s="696"/>
      <c r="P70" s="697"/>
      <c r="Q70" s="696"/>
    </row>
    <row r="71" spans="1:25" ht="30" customHeight="1" thickBot="1">
      <c r="A71" s="1019"/>
      <c r="B71" s="709" t="s">
        <v>242</v>
      </c>
      <c r="C71" s="710"/>
      <c r="D71" s="711"/>
      <c r="E71" s="712" t="e">
        <f>E68+E35</f>
        <v>#REF!</v>
      </c>
      <c r="F71" s="669"/>
      <c r="G71" s="717" t="s">
        <v>230</v>
      </c>
      <c r="H71" s="711"/>
      <c r="I71" s="717" t="e">
        <f>I35+I36+I68</f>
        <v>#REF!</v>
      </c>
      <c r="J71" s="650"/>
      <c r="K71" s="717" t="s">
        <v>472</v>
      </c>
      <c r="L71" s="711"/>
      <c r="M71" s="717" t="e">
        <f>M35+M36+M68</f>
        <v>#REF!</v>
      </c>
      <c r="N71" s="650"/>
      <c r="O71" s="1206" t="s">
        <v>193</v>
      </c>
      <c r="P71" s="1206"/>
      <c r="Q71" s="717" t="e">
        <f>Q35+Q36+Q68</f>
        <v>#REF!</v>
      </c>
      <c r="S71" s="1020"/>
      <c r="T71" s="1020"/>
      <c r="U71" s="1020"/>
      <c r="V71" s="1020"/>
      <c r="W71" s="1020"/>
      <c r="X71" s="1020"/>
      <c r="Y71" s="1020"/>
    </row>
    <row r="72" spans="1:25" ht="13.2">
      <c r="B72" s="671"/>
      <c r="C72" s="667"/>
      <c r="D72" s="666"/>
      <c r="E72" s="668"/>
      <c r="F72" s="669"/>
      <c r="G72" s="650"/>
      <c r="H72" s="650"/>
      <c r="I72" s="650"/>
      <c r="J72" s="650"/>
      <c r="K72" s="650"/>
      <c r="L72" s="650"/>
      <c r="M72" s="650"/>
      <c r="N72" s="650"/>
      <c r="O72" s="650"/>
      <c r="P72" s="650"/>
      <c r="Q72" s="650"/>
    </row>
    <row r="73" spans="1:25" ht="13.2">
      <c r="B73" s="671"/>
      <c r="C73" s="667"/>
      <c r="D73" s="666"/>
      <c r="E73" s="668"/>
      <c r="F73" s="669"/>
      <c r="G73" s="650"/>
      <c r="H73" s="650"/>
      <c r="I73" s="650"/>
      <c r="J73" s="650"/>
      <c r="K73" s="650"/>
      <c r="L73" s="650"/>
      <c r="M73" s="650"/>
      <c r="N73" s="650"/>
      <c r="O73" s="650"/>
      <c r="P73" s="650"/>
      <c r="Q73" s="650"/>
    </row>
    <row r="74" spans="1:25" ht="13.2">
      <c r="B74" s="641" t="s">
        <v>52</v>
      </c>
      <c r="C74" s="642"/>
      <c r="D74" s="642"/>
      <c r="E74" s="643"/>
      <c r="F74" s="636"/>
      <c r="G74" s="233"/>
      <c r="H74" s="645"/>
      <c r="I74" s="645"/>
      <c r="K74" s="233"/>
      <c r="L74" s="645"/>
      <c r="M74" s="645"/>
      <c r="O74" s="233"/>
      <c r="P74" s="645"/>
      <c r="Q74" s="645"/>
    </row>
    <row r="75" spans="1:25" ht="13.2">
      <c r="B75" s="644" t="s">
        <v>195</v>
      </c>
      <c r="C75" s="701">
        <f>'Campus MASTER PLAN'!E65</f>
        <v>100</v>
      </c>
      <c r="D75" s="645" t="s">
        <v>196</v>
      </c>
      <c r="E75" s="646">
        <v>148800</v>
      </c>
      <c r="F75" s="636"/>
      <c r="G75" s="647">
        <v>300</v>
      </c>
      <c r="H75" s="648" t="s">
        <v>197</v>
      </c>
      <c r="I75" s="649">
        <f>$C75*G75</f>
        <v>30000</v>
      </c>
      <c r="J75" s="650"/>
      <c r="K75" s="647">
        <f>G75*0.9</f>
        <v>270</v>
      </c>
      <c r="L75" s="648" t="s">
        <v>197</v>
      </c>
      <c r="M75" s="649">
        <f>$C75*K75</f>
        <v>27000</v>
      </c>
      <c r="N75" s="650"/>
      <c r="O75" s="651"/>
      <c r="P75" s="648"/>
      <c r="Q75" s="649"/>
    </row>
    <row r="76" spans="1:25" ht="13.2">
      <c r="B76" s="644" t="s">
        <v>238</v>
      </c>
      <c r="C76" s="652"/>
      <c r="D76" s="653"/>
      <c r="E76" s="654">
        <v>18600</v>
      </c>
      <c r="F76" s="636"/>
      <c r="G76" s="655">
        <v>0.21</v>
      </c>
      <c r="H76" s="656" t="s">
        <v>199</v>
      </c>
      <c r="I76" s="657">
        <f>$E76*G76</f>
        <v>3906</v>
      </c>
      <c r="J76" s="650"/>
      <c r="K76" s="647">
        <f>G76*0.9</f>
        <v>0.189</v>
      </c>
      <c r="L76" s="656" t="s">
        <v>199</v>
      </c>
      <c r="M76" s="657">
        <f>$E76*K76</f>
        <v>3515.4</v>
      </c>
      <c r="N76" s="650"/>
      <c r="O76" s="651"/>
      <c r="P76" s="656"/>
      <c r="Q76" s="657"/>
    </row>
    <row r="77" spans="1:25" ht="13.2">
      <c r="B77" s="644" t="s">
        <v>237</v>
      </c>
      <c r="C77" s="645"/>
      <c r="D77" s="645"/>
      <c r="E77" s="654">
        <v>80600</v>
      </c>
      <c r="F77" s="636"/>
      <c r="G77" s="655">
        <v>0.21</v>
      </c>
      <c r="H77" s="656" t="s">
        <v>199</v>
      </c>
      <c r="I77" s="657">
        <f>$E77*G77</f>
        <v>16926</v>
      </c>
      <c r="J77" s="650"/>
      <c r="K77" s="647">
        <f t="shared" ref="K77:K78" si="2">G77*0.9</f>
        <v>0.189</v>
      </c>
      <c r="L77" s="656" t="s">
        <v>199</v>
      </c>
      <c r="M77" s="657">
        <f>$E77*K77</f>
        <v>15233.4</v>
      </c>
      <c r="N77" s="650"/>
      <c r="O77" s="658"/>
      <c r="P77" s="656"/>
      <c r="Q77" s="657"/>
    </row>
    <row r="78" spans="1:25" ht="13.2">
      <c r="B78" s="659" t="s">
        <v>239</v>
      </c>
      <c r="C78" s="660"/>
      <c r="D78" s="660"/>
      <c r="E78" s="661">
        <v>62000</v>
      </c>
      <c r="F78" s="636"/>
      <c r="G78" s="662">
        <v>0.21</v>
      </c>
      <c r="H78" s="663" t="s">
        <v>199</v>
      </c>
      <c r="I78" s="664">
        <f>$E78*G78</f>
        <v>13020</v>
      </c>
      <c r="J78" s="650"/>
      <c r="K78" s="679">
        <f t="shared" si="2"/>
        <v>0.189</v>
      </c>
      <c r="L78" s="663" t="s">
        <v>199</v>
      </c>
      <c r="M78" s="664">
        <f>$E78*K78</f>
        <v>11718</v>
      </c>
      <c r="N78" s="650"/>
      <c r="O78" s="665"/>
      <c r="P78" s="663"/>
      <c r="Q78" s="664"/>
    </row>
    <row r="79" spans="1:25" ht="13.2">
      <c r="B79" s="666" t="s">
        <v>231</v>
      </c>
      <c r="C79" s="667" t="s">
        <v>0</v>
      </c>
      <c r="D79" s="666" t="s">
        <v>0</v>
      </c>
      <c r="E79" s="668">
        <f>SUM(E75:E78)</f>
        <v>310000</v>
      </c>
      <c r="F79" s="669"/>
      <c r="G79" s="650"/>
      <c r="H79" s="645"/>
      <c r="I79" s="667">
        <f>SUM(I75:I78)</f>
        <v>63852</v>
      </c>
      <c r="J79" s="650"/>
      <c r="K79" s="650"/>
      <c r="L79" s="645"/>
      <c r="M79" s="667">
        <f>SUM(M75:M78)</f>
        <v>57466.8</v>
      </c>
      <c r="N79" s="650"/>
      <c r="O79" s="647">
        <v>7</v>
      </c>
      <c r="P79" s="648" t="s">
        <v>203</v>
      </c>
      <c r="Q79" s="670">
        <f>($E79*O79)/1000</f>
        <v>2170</v>
      </c>
    </row>
    <row r="80" spans="1:25" ht="13.2">
      <c r="B80" s="666"/>
      <c r="C80" s="667"/>
      <c r="D80" s="666"/>
      <c r="E80" s="668"/>
      <c r="F80" s="669"/>
      <c r="G80" s="650"/>
      <c r="H80" s="645"/>
      <c r="I80" s="667"/>
      <c r="J80" s="650"/>
      <c r="K80" s="650"/>
      <c r="L80" s="645"/>
      <c r="M80" s="667"/>
      <c r="N80" s="650"/>
      <c r="O80" s="650"/>
      <c r="P80" s="645"/>
      <c r="Q80" s="667"/>
    </row>
    <row r="81" spans="1:25" ht="13.2">
      <c r="B81" s="675" t="s">
        <v>232</v>
      </c>
      <c r="C81" s="673"/>
      <c r="D81" s="675"/>
      <c r="E81" s="676"/>
      <c r="F81" s="669"/>
      <c r="G81" s="672"/>
      <c r="H81" s="660"/>
      <c r="I81" s="673"/>
      <c r="J81" s="650"/>
      <c r="K81" s="672"/>
      <c r="L81" s="660"/>
      <c r="M81" s="673"/>
      <c r="N81" s="650"/>
      <c r="O81" s="672"/>
      <c r="P81" s="660"/>
      <c r="Q81" s="673"/>
    </row>
    <row r="82" spans="1:25" ht="13.2">
      <c r="B82" s="659" t="s">
        <v>240</v>
      </c>
      <c r="C82" s="660" t="s">
        <v>0</v>
      </c>
      <c r="D82" s="660"/>
      <c r="E82" s="693">
        <f>'Campus MASTER PLAN'!I69+'Campus MASTER PLAN'!I71</f>
        <v>175000</v>
      </c>
      <c r="F82" s="669"/>
      <c r="G82" s="699">
        <v>0.13</v>
      </c>
      <c r="H82" s="685" t="s">
        <v>199</v>
      </c>
      <c r="I82" s="686">
        <f>$E82*G82</f>
        <v>22750</v>
      </c>
      <c r="J82" s="650"/>
      <c r="K82" s="699">
        <f>G82*0.9</f>
        <v>0.11700000000000001</v>
      </c>
      <c r="L82" s="685" t="s">
        <v>199</v>
      </c>
      <c r="M82" s="686">
        <f>$E82*K82</f>
        <v>20475</v>
      </c>
      <c r="N82" s="650"/>
      <c r="O82" s="700"/>
      <c r="P82" s="663"/>
      <c r="Q82" s="686"/>
    </row>
    <row r="83" spans="1:25" ht="13.2">
      <c r="B83" s="666" t="s">
        <v>233</v>
      </c>
      <c r="C83" s="667" t="s">
        <v>0</v>
      </c>
      <c r="D83" s="666" t="s">
        <v>0</v>
      </c>
      <c r="E83" s="668">
        <f>SUM(E82)</f>
        <v>175000</v>
      </c>
      <c r="F83" s="669"/>
      <c r="G83" s="647" t="s">
        <v>0</v>
      </c>
      <c r="H83" s="656" t="s">
        <v>0</v>
      </c>
      <c r="I83" s="667">
        <f>SUM(I82)</f>
        <v>22750</v>
      </c>
      <c r="J83" s="650"/>
      <c r="K83" s="647" t="s">
        <v>0</v>
      </c>
      <c r="L83" s="656" t="s">
        <v>0</v>
      </c>
      <c r="M83" s="667">
        <f>SUM(M82)</f>
        <v>20475</v>
      </c>
      <c r="N83" s="650"/>
      <c r="O83" s="655">
        <v>2.25</v>
      </c>
      <c r="P83" s="648" t="s">
        <v>203</v>
      </c>
      <c r="Q83" s="670">
        <f>($E83*O83)/1000</f>
        <v>393.75</v>
      </c>
    </row>
    <row r="84" spans="1:25" ht="13.2">
      <c r="B84" s="666"/>
      <c r="C84" s="667"/>
      <c r="D84" s="666"/>
      <c r="E84" s="668"/>
      <c r="F84" s="669"/>
      <c r="G84" s="647"/>
      <c r="H84" s="656"/>
      <c r="I84" s="667"/>
      <c r="J84" s="650"/>
      <c r="K84" s="647"/>
      <c r="L84" s="656"/>
      <c r="M84" s="667"/>
      <c r="N84" s="650"/>
      <c r="O84" s="647"/>
      <c r="P84" s="645"/>
      <c r="Q84" s="667"/>
    </row>
    <row r="85" spans="1:25" ht="13.2">
      <c r="B85" s="675" t="s">
        <v>212</v>
      </c>
      <c r="C85" s="673"/>
      <c r="D85" s="675"/>
      <c r="E85" s="676"/>
      <c r="F85" s="669"/>
      <c r="G85" s="672"/>
      <c r="H85" s="645"/>
      <c r="I85" s="673"/>
      <c r="J85" s="650"/>
      <c r="K85" s="672"/>
      <c r="L85" s="645"/>
      <c r="M85" s="673"/>
      <c r="N85" s="650"/>
      <c r="O85" s="672"/>
      <c r="P85" s="645"/>
      <c r="Q85" s="673"/>
    </row>
    <row r="86" spans="1:25" ht="13.2">
      <c r="B86" s="644" t="s">
        <v>52</v>
      </c>
      <c r="C86" s="667"/>
      <c r="D86" s="666" t="s">
        <v>0</v>
      </c>
      <c r="E86" s="654">
        <f>'Campus MASTER PLAN'!I78</f>
        <v>149450</v>
      </c>
      <c r="F86" s="669"/>
      <c r="G86" s="647">
        <v>0</v>
      </c>
      <c r="H86" s="648" t="s">
        <v>205</v>
      </c>
      <c r="I86" s="657">
        <f>$E86*G86</f>
        <v>0</v>
      </c>
      <c r="J86" s="650"/>
      <c r="K86" s="647">
        <f>G86*0.9</f>
        <v>0</v>
      </c>
      <c r="L86" s="648" t="s">
        <v>205</v>
      </c>
      <c r="M86" s="657">
        <f>$E86*K86</f>
        <v>0</v>
      </c>
      <c r="N86" s="650"/>
      <c r="O86" s="677"/>
      <c r="P86" s="648"/>
      <c r="Q86" s="657"/>
    </row>
    <row r="87" spans="1:25" ht="13.2">
      <c r="B87" s="644" t="s">
        <v>241</v>
      </c>
      <c r="C87" s="667"/>
      <c r="D87" s="666"/>
      <c r="E87" s="654">
        <f>'Campus MASTER PLAN'!I79</f>
        <v>125300</v>
      </c>
      <c r="F87" s="669"/>
      <c r="G87" s="647"/>
      <c r="H87" s="656"/>
      <c r="I87" s="657"/>
      <c r="J87" s="650"/>
      <c r="K87" s="647"/>
      <c r="L87" s="656"/>
      <c r="M87" s="657"/>
      <c r="N87" s="650"/>
      <c r="O87" s="677"/>
      <c r="P87" s="656"/>
      <c r="Q87" s="657"/>
    </row>
    <row r="88" spans="1:25" ht="13.2">
      <c r="B88" s="659" t="s">
        <v>225</v>
      </c>
      <c r="C88" s="673"/>
      <c r="D88" s="675"/>
      <c r="E88" s="661">
        <f>'Campus MASTER PLAN'!I80</f>
        <v>94150</v>
      </c>
      <c r="F88" s="669"/>
      <c r="G88" s="679">
        <v>0</v>
      </c>
      <c r="H88" s="663" t="s">
        <v>205</v>
      </c>
      <c r="I88" s="664">
        <f>$E88*G88</f>
        <v>0</v>
      </c>
      <c r="J88" s="650"/>
      <c r="K88" s="679">
        <f>G88*0.9</f>
        <v>0</v>
      </c>
      <c r="L88" s="663" t="s">
        <v>205</v>
      </c>
      <c r="M88" s="664">
        <f>$E88*K88</f>
        <v>0</v>
      </c>
      <c r="N88" s="650"/>
      <c r="O88" s="680"/>
      <c r="P88" s="663"/>
      <c r="Q88" s="664"/>
    </row>
    <row r="89" spans="1:25" ht="13.2">
      <c r="B89" s="666" t="s">
        <v>474</v>
      </c>
      <c r="C89" s="667" t="s">
        <v>0</v>
      </c>
      <c r="D89" s="666" t="s">
        <v>0</v>
      </c>
      <c r="E89" s="668">
        <f>SUM(E86:E88)</f>
        <v>368900</v>
      </c>
      <c r="F89" s="669"/>
      <c r="G89" s="650"/>
      <c r="H89" s="645"/>
      <c r="I89" s="667">
        <f>SUM(I86:I88)</f>
        <v>0</v>
      </c>
      <c r="J89" s="650"/>
      <c r="K89" s="650"/>
      <c r="L89" s="645"/>
      <c r="M89" s="667">
        <f>SUM(M86:M88)</f>
        <v>0</v>
      </c>
      <c r="N89" s="650"/>
      <c r="O89" s="655">
        <v>3.75</v>
      </c>
      <c r="P89" s="648" t="s">
        <v>203</v>
      </c>
      <c r="Q89" s="681">
        <f>($E89*O89)/1000</f>
        <v>1383.375</v>
      </c>
    </row>
    <row r="90" spans="1:25" ht="13.2">
      <c r="B90" s="671"/>
      <c r="C90" s="667"/>
      <c r="D90" s="666"/>
      <c r="E90" s="668"/>
      <c r="F90" s="669"/>
      <c r="G90" s="650"/>
      <c r="H90" s="650"/>
      <c r="I90" s="650"/>
      <c r="J90" s="650"/>
      <c r="K90" s="650"/>
      <c r="L90" s="645"/>
      <c r="M90" s="645"/>
      <c r="N90" s="650"/>
      <c r="O90" s="650"/>
      <c r="P90" s="645"/>
      <c r="Q90" s="645"/>
    </row>
    <row r="91" spans="1:25" ht="13.2">
      <c r="B91" s="671"/>
      <c r="C91" s="667"/>
      <c r="D91" s="666"/>
      <c r="E91" s="668"/>
      <c r="F91" s="669"/>
      <c r="G91" s="650"/>
      <c r="H91" s="650"/>
      <c r="I91" s="650"/>
      <c r="J91" s="650"/>
      <c r="K91" s="650"/>
      <c r="L91" s="645"/>
      <c r="M91" s="645"/>
      <c r="N91" s="650"/>
      <c r="O91" s="650"/>
      <c r="P91" s="645"/>
      <c r="Q91" s="645"/>
    </row>
    <row r="92" spans="1:25" ht="24" customHeight="1">
      <c r="B92" s="718" t="s">
        <v>233</v>
      </c>
      <c r="C92" s="719" t="s">
        <v>0</v>
      </c>
      <c r="D92" s="718" t="s">
        <v>0</v>
      </c>
      <c r="E92" s="720">
        <f>E79+E83+E89</f>
        <v>853900</v>
      </c>
      <c r="F92" s="721"/>
      <c r="G92" s="722" t="s">
        <v>0</v>
      </c>
      <c r="H92" s="723" t="s">
        <v>0</v>
      </c>
      <c r="I92" s="720">
        <f>I79+I83+I89</f>
        <v>86602</v>
      </c>
      <c r="J92" s="724"/>
      <c r="K92" s="722" t="s">
        <v>0</v>
      </c>
      <c r="L92" s="723" t="s">
        <v>0</v>
      </c>
      <c r="M92" s="720">
        <f>M79+M83+M89</f>
        <v>77941.8</v>
      </c>
      <c r="N92" s="724"/>
      <c r="O92" s="722" t="s">
        <v>0</v>
      </c>
      <c r="P92" s="723" t="s">
        <v>0</v>
      </c>
      <c r="Q92" s="720">
        <f>Q79+Q83+Q89</f>
        <v>3947.125</v>
      </c>
    </row>
    <row r="93" spans="1:25" ht="13.8" thickBot="1">
      <c r="B93" s="695"/>
      <c r="C93" s="696"/>
      <c r="D93" s="697"/>
      <c r="E93" s="698"/>
      <c r="F93" s="669"/>
      <c r="G93" s="696"/>
      <c r="H93" s="697"/>
      <c r="I93" s="696"/>
      <c r="J93" s="650"/>
      <c r="K93" s="696"/>
      <c r="L93" s="697"/>
      <c r="M93" s="696"/>
      <c r="N93" s="650"/>
      <c r="O93" s="696"/>
      <c r="P93" s="697"/>
      <c r="Q93" s="696"/>
    </row>
    <row r="94" spans="1:25" ht="30" customHeight="1" thickBot="1">
      <c r="A94" s="1019"/>
      <c r="B94" s="713" t="s">
        <v>243</v>
      </c>
      <c r="C94" s="714"/>
      <c r="D94" s="715"/>
      <c r="E94" s="716" t="e">
        <f>E71+E92</f>
        <v>#REF!</v>
      </c>
      <c r="F94" s="669"/>
      <c r="G94" s="717" t="s">
        <v>230</v>
      </c>
      <c r="H94" s="729"/>
      <c r="I94" s="730" t="e">
        <f>I71+I92</f>
        <v>#REF!</v>
      </c>
      <c r="J94" s="650"/>
      <c r="K94" s="717" t="s">
        <v>472</v>
      </c>
      <c r="L94" s="729"/>
      <c r="M94" s="730" t="e">
        <f>M71+M92</f>
        <v>#REF!</v>
      </c>
      <c r="N94" s="650"/>
      <c r="O94" s="1206" t="s">
        <v>193</v>
      </c>
      <c r="P94" s="1206"/>
      <c r="Q94" s="730" t="e">
        <f>Q71+Q92</f>
        <v>#REF!</v>
      </c>
      <c r="S94" s="1020"/>
      <c r="T94" s="1020"/>
      <c r="U94" s="1020"/>
      <c r="V94" s="1020"/>
      <c r="W94" s="1020"/>
      <c r="X94" s="1020"/>
      <c r="Y94" s="1020"/>
    </row>
    <row r="95" spans="1:25" ht="13.2">
      <c r="B95" s="671"/>
      <c r="C95" s="667"/>
      <c r="D95" s="666"/>
      <c r="E95" s="668"/>
      <c r="F95" s="669"/>
      <c r="G95" s="650"/>
      <c r="H95" s="650"/>
      <c r="I95" s="650"/>
      <c r="J95" s="650"/>
      <c r="K95" s="650"/>
      <c r="L95" s="650"/>
      <c r="M95" s="650"/>
      <c r="N95" s="650"/>
      <c r="O95" s="650"/>
      <c r="P95" s="650"/>
      <c r="Q95" s="650"/>
    </row>
    <row r="96" spans="1:25" ht="13.2">
      <c r="B96" s="671"/>
      <c r="C96" s="667"/>
      <c r="D96" s="666"/>
      <c r="E96" s="668"/>
      <c r="F96" s="669"/>
      <c r="G96" s="650"/>
      <c r="H96" s="650"/>
      <c r="I96" s="650"/>
      <c r="J96" s="650"/>
      <c r="K96" s="650"/>
      <c r="L96" s="650"/>
      <c r="M96" s="650"/>
      <c r="N96" s="650"/>
      <c r="O96" s="650"/>
      <c r="P96" s="650"/>
      <c r="Q96" s="650"/>
    </row>
    <row r="97" spans="2:25" ht="13.2">
      <c r="E97" s="668"/>
      <c r="F97" s="635"/>
    </row>
    <row r="98" spans="2:25" ht="13.2">
      <c r="E98" s="668"/>
      <c r="F98" s="635"/>
    </row>
    <row r="99" spans="2:25" ht="13.2">
      <c r="E99" s="668"/>
      <c r="F99" s="635"/>
    </row>
    <row r="100" spans="2:25" ht="13.2">
      <c r="E100" s="668"/>
      <c r="F100" s="635"/>
    </row>
    <row r="102" spans="2:25" ht="13.8">
      <c r="B102" s="841" t="s">
        <v>408</v>
      </c>
    </row>
    <row r="104" spans="2:25" ht="30" customHeight="1" thickBot="1">
      <c r="B104" s="747" t="s">
        <v>249</v>
      </c>
      <c r="C104" s="748"/>
      <c r="D104" s="749"/>
      <c r="E104" s="750"/>
      <c r="F104" s="739"/>
      <c r="G104" s="739"/>
      <c r="H104" s="739"/>
      <c r="I104" s="739"/>
      <c r="J104" s="739"/>
      <c r="K104" s="739"/>
      <c r="L104" s="739"/>
      <c r="M104" s="739"/>
      <c r="N104" s="739"/>
      <c r="O104" s="739"/>
      <c r="P104" s="739"/>
      <c r="Q104" s="739"/>
      <c r="S104" s="747" t="s">
        <v>101</v>
      </c>
      <c r="T104" s="739"/>
      <c r="U104" s="739"/>
      <c r="V104" s="739"/>
      <c r="W104" s="739"/>
      <c r="X104" s="739"/>
      <c r="Y104" s="739"/>
    </row>
    <row r="107" spans="2:25" ht="16.8">
      <c r="B107" s="731" t="s">
        <v>245</v>
      </c>
      <c r="C107" s="732" t="s">
        <v>0</v>
      </c>
      <c r="D107" s="733" t="s">
        <v>0</v>
      </c>
      <c r="E107" s="738" t="e">
        <f>E35</f>
        <v>#REF!</v>
      </c>
      <c r="F107" s="734"/>
      <c r="G107" s="735" t="s">
        <v>0</v>
      </c>
      <c r="H107" s="736" t="s">
        <v>0</v>
      </c>
      <c r="I107" s="738" t="e">
        <f>I35</f>
        <v>#REF!</v>
      </c>
      <c r="J107" s="737"/>
      <c r="K107" s="735" t="s">
        <v>0</v>
      </c>
      <c r="L107" s="736" t="s">
        <v>0</v>
      </c>
      <c r="M107" s="738" t="e">
        <f>M35</f>
        <v>#REF!</v>
      </c>
      <c r="N107" s="737"/>
      <c r="O107" s="735" t="s">
        <v>0</v>
      </c>
      <c r="P107" s="736" t="s">
        <v>0</v>
      </c>
      <c r="Q107" s="738" t="e">
        <f>Q35</f>
        <v>#REF!</v>
      </c>
      <c r="S107" s="840" t="s">
        <v>470</v>
      </c>
    </row>
    <row r="108" spans="2:25" ht="16.8">
      <c r="B108" s="731" t="s">
        <v>254</v>
      </c>
      <c r="C108" s="732" t="s">
        <v>0</v>
      </c>
      <c r="D108" s="733" t="s">
        <v>0</v>
      </c>
      <c r="E108" s="738">
        <f>E36</f>
        <v>630733</v>
      </c>
      <c r="F108" s="734"/>
      <c r="G108" s="735" t="s">
        <v>0</v>
      </c>
      <c r="H108" s="736" t="s">
        <v>0</v>
      </c>
      <c r="I108" s="738">
        <f>I36</f>
        <v>1955.2722999999999</v>
      </c>
      <c r="J108" s="737"/>
      <c r="K108" s="735" t="s">
        <v>0</v>
      </c>
      <c r="L108" s="736" t="s">
        <v>0</v>
      </c>
      <c r="M108" s="738">
        <f>M36</f>
        <v>1766.0524</v>
      </c>
      <c r="N108" s="737"/>
      <c r="O108" s="735" t="s">
        <v>0</v>
      </c>
      <c r="P108" s="736" t="s">
        <v>0</v>
      </c>
      <c r="Q108" s="738">
        <f>Q36</f>
        <v>31.536650000000002</v>
      </c>
    </row>
    <row r="110" spans="2:25" ht="16.8">
      <c r="B110" s="731" t="s">
        <v>246</v>
      </c>
      <c r="C110" s="732" t="s">
        <v>0</v>
      </c>
      <c r="D110" s="733" t="s">
        <v>0</v>
      </c>
      <c r="E110" s="738">
        <v>3405000</v>
      </c>
      <c r="F110" s="734"/>
      <c r="G110" s="735" t="s">
        <v>0</v>
      </c>
      <c r="H110" s="736" t="s">
        <v>0</v>
      </c>
      <c r="I110" s="738">
        <v>585600</v>
      </c>
      <c r="J110" s="737"/>
      <c r="K110" s="735" t="s">
        <v>0</v>
      </c>
      <c r="L110" s="736" t="s">
        <v>0</v>
      </c>
      <c r="M110" s="738">
        <v>423040</v>
      </c>
      <c r="N110" s="737"/>
      <c r="O110" s="735" t="s">
        <v>0</v>
      </c>
      <c r="P110" s="736" t="s">
        <v>0</v>
      </c>
      <c r="Q110" s="738">
        <v>30853</v>
      </c>
    </row>
    <row r="111" spans="2:25" ht="16.8">
      <c r="B111" s="731" t="s">
        <v>255</v>
      </c>
      <c r="C111" s="732" t="s">
        <v>0</v>
      </c>
      <c r="D111" s="733" t="s">
        <v>0</v>
      </c>
      <c r="E111" s="738">
        <v>1400000</v>
      </c>
      <c r="F111" s="734"/>
      <c r="G111" s="735" t="s">
        <v>0</v>
      </c>
      <c r="H111" s="736" t="s">
        <v>0</v>
      </c>
      <c r="I111" s="738">
        <v>4370</v>
      </c>
      <c r="J111" s="737"/>
      <c r="K111" s="735" t="s">
        <v>0</v>
      </c>
      <c r="L111" s="736" t="s">
        <v>0</v>
      </c>
      <c r="M111" s="738">
        <v>3933</v>
      </c>
      <c r="N111" s="737"/>
      <c r="O111" s="735" t="s">
        <v>0</v>
      </c>
      <c r="P111" s="736" t="s">
        <v>0</v>
      </c>
      <c r="Q111" s="738">
        <v>70</v>
      </c>
    </row>
    <row r="113" spans="2:17" ht="16.8">
      <c r="B113" s="740" t="s">
        <v>41</v>
      </c>
      <c r="C113" s="725" t="s">
        <v>0</v>
      </c>
      <c r="D113" s="726" t="s">
        <v>0</v>
      </c>
      <c r="E113" s="720" t="e">
        <f>(E107+E108)-(E110+E111)</f>
        <v>#REF!</v>
      </c>
      <c r="F113" s="721"/>
      <c r="G113" s="727" t="s">
        <v>0</v>
      </c>
      <c r="H113" s="728" t="s">
        <v>0</v>
      </c>
      <c r="I113" s="720" t="e">
        <f>(I107+I108)-(I110+I111)</f>
        <v>#REF!</v>
      </c>
      <c r="J113" s="724"/>
      <c r="K113" s="727" t="s">
        <v>0</v>
      </c>
      <c r="L113" s="728" t="s">
        <v>0</v>
      </c>
      <c r="M113" s="720" t="e">
        <f>(M107+M108)-(M110+M111)</f>
        <v>#REF!</v>
      </c>
      <c r="N113" s="724"/>
      <c r="O113" s="727" t="s">
        <v>0</v>
      </c>
      <c r="P113" s="728" t="s">
        <v>0</v>
      </c>
      <c r="Q113" s="720" t="e">
        <f>(Q107+Q108)-(Q110+Q111)</f>
        <v>#REF!</v>
      </c>
    </row>
    <row r="116" spans="2:17" ht="16.8">
      <c r="B116" s="731" t="s">
        <v>247</v>
      </c>
      <c r="C116" s="732" t="s">
        <v>0</v>
      </c>
      <c r="D116" s="733" t="s">
        <v>0</v>
      </c>
      <c r="E116" s="738">
        <f>E68</f>
        <v>1374145</v>
      </c>
      <c r="F116" s="734"/>
      <c r="G116" s="735" t="s">
        <v>0</v>
      </c>
      <c r="H116" s="736" t="s">
        <v>0</v>
      </c>
      <c r="I116" s="738">
        <f>I68</f>
        <v>69909.414499999999</v>
      </c>
      <c r="J116" s="737"/>
      <c r="K116" s="735" t="s">
        <v>0</v>
      </c>
      <c r="L116" s="736" t="s">
        <v>0</v>
      </c>
      <c r="M116" s="738">
        <f>M68</f>
        <v>62923.826000000001</v>
      </c>
      <c r="N116" s="737"/>
      <c r="O116" s="735" t="s">
        <v>0</v>
      </c>
      <c r="P116" s="736" t="s">
        <v>0</v>
      </c>
      <c r="Q116" s="738">
        <f>Q68</f>
        <v>5413.7022500000003</v>
      </c>
    </row>
    <row r="118" spans="2:17" ht="16.8">
      <c r="B118" s="731" t="s">
        <v>248</v>
      </c>
      <c r="C118" s="732" t="s">
        <v>0</v>
      </c>
      <c r="D118" s="733" t="s">
        <v>0</v>
      </c>
      <c r="E118" s="738">
        <v>1050000</v>
      </c>
      <c r="F118" s="734"/>
      <c r="G118" s="735" t="s">
        <v>0</v>
      </c>
      <c r="H118" s="736" t="s">
        <v>0</v>
      </c>
      <c r="I118" s="738">
        <v>86970</v>
      </c>
      <c r="J118" s="737"/>
      <c r="K118" s="735" t="s">
        <v>0</v>
      </c>
      <c r="L118" s="736" t="s">
        <v>0</v>
      </c>
      <c r="M118" s="738">
        <v>78273</v>
      </c>
      <c r="N118" s="737"/>
      <c r="O118" s="735" t="s">
        <v>0</v>
      </c>
      <c r="P118" s="736" t="s">
        <v>0</v>
      </c>
      <c r="Q118" s="738">
        <v>5538</v>
      </c>
    </row>
    <row r="120" spans="2:17" ht="16.8">
      <c r="B120" s="740" t="s">
        <v>41</v>
      </c>
      <c r="C120" s="725" t="s">
        <v>0</v>
      </c>
      <c r="D120" s="726" t="s">
        <v>0</v>
      </c>
      <c r="E120" s="720">
        <f>E116-E118</f>
        <v>324145</v>
      </c>
      <c r="F120" s="721"/>
      <c r="G120" s="727" t="s">
        <v>0</v>
      </c>
      <c r="H120" s="728" t="s">
        <v>0</v>
      </c>
      <c r="I120" s="720">
        <f>I116-I118</f>
        <v>-17060.585500000001</v>
      </c>
      <c r="J120" s="724"/>
      <c r="K120" s="727" t="s">
        <v>0</v>
      </c>
      <c r="L120" s="728" t="s">
        <v>0</v>
      </c>
      <c r="M120" s="720">
        <f>M116-M118</f>
        <v>-15349.173999999999</v>
      </c>
      <c r="N120" s="724"/>
      <c r="O120" s="727" t="s">
        <v>0</v>
      </c>
      <c r="P120" s="728" t="s">
        <v>0</v>
      </c>
      <c r="Q120" s="720">
        <f>Q116-Q118</f>
        <v>-124.29774999999972</v>
      </c>
    </row>
    <row r="121" spans="2:17" ht="13.2" thickBot="1">
      <c r="B121" s="739"/>
      <c r="C121" s="739"/>
      <c r="D121" s="739"/>
      <c r="E121" s="739"/>
      <c r="F121" s="739"/>
      <c r="G121" s="739"/>
      <c r="H121" s="739"/>
      <c r="I121" s="739"/>
      <c r="J121" s="739"/>
      <c r="K121" s="739"/>
      <c r="L121" s="739"/>
      <c r="M121" s="739"/>
      <c r="N121" s="739"/>
      <c r="O121" s="739"/>
      <c r="P121" s="739"/>
      <c r="Q121" s="739"/>
    </row>
    <row r="123" spans="2:17" ht="16.8">
      <c r="B123" s="1214" t="s">
        <v>475</v>
      </c>
      <c r="C123" s="1215"/>
      <c r="D123" s="733" t="s">
        <v>0</v>
      </c>
      <c r="E123" s="738" t="e">
        <f>E107+E116</f>
        <v>#REF!</v>
      </c>
      <c r="F123" s="734"/>
      <c r="G123" s="735" t="s">
        <v>0</v>
      </c>
      <c r="H123" s="736" t="s">
        <v>0</v>
      </c>
      <c r="I123" s="738" t="e">
        <f>I107+I116+I108</f>
        <v>#REF!</v>
      </c>
      <c r="J123" s="737"/>
      <c r="K123" s="735" t="s">
        <v>0</v>
      </c>
      <c r="L123" s="736" t="s">
        <v>0</v>
      </c>
      <c r="M123" s="738" t="e">
        <f>M107+M116+M108</f>
        <v>#REF!</v>
      </c>
      <c r="N123" s="737"/>
      <c r="O123" s="735" t="s">
        <v>0</v>
      </c>
      <c r="P123" s="736" t="s">
        <v>0</v>
      </c>
      <c r="Q123" s="738" t="e">
        <f>Q107+Q116+Q108</f>
        <v>#REF!</v>
      </c>
    </row>
    <row r="125" spans="2:17" ht="16.8">
      <c r="B125" s="1214" t="s">
        <v>476</v>
      </c>
      <c r="C125" s="1215"/>
      <c r="D125" s="733" t="s">
        <v>0</v>
      </c>
      <c r="E125" s="738">
        <f>E110+E118</f>
        <v>4455000</v>
      </c>
      <c r="F125" s="734"/>
      <c r="G125" s="735" t="s">
        <v>0</v>
      </c>
      <c r="H125" s="736" t="s">
        <v>0</v>
      </c>
      <c r="I125" s="738">
        <f>I110+I118+I15</f>
        <v>672570</v>
      </c>
      <c r="J125" s="737"/>
      <c r="K125" s="735" t="s">
        <v>0</v>
      </c>
      <c r="L125" s="736" t="s">
        <v>0</v>
      </c>
      <c r="M125" s="738">
        <f>M110+M118+M111</f>
        <v>505246</v>
      </c>
      <c r="N125" s="737"/>
      <c r="O125" s="735" t="s">
        <v>0</v>
      </c>
      <c r="P125" s="736" t="s">
        <v>0</v>
      </c>
      <c r="Q125" s="738">
        <f>Q110+Q118+Q111</f>
        <v>36461</v>
      </c>
    </row>
    <row r="127" spans="2:17" ht="16.8">
      <c r="B127" s="741" t="s">
        <v>252</v>
      </c>
      <c r="C127" s="742" t="s">
        <v>0</v>
      </c>
      <c r="D127" s="743" t="s">
        <v>0</v>
      </c>
      <c r="E127" s="744" t="e">
        <f>E123-E125</f>
        <v>#REF!</v>
      </c>
      <c r="F127" s="721"/>
      <c r="G127" s="745" t="s">
        <v>0</v>
      </c>
      <c r="H127" s="746" t="s">
        <v>0</v>
      </c>
      <c r="I127" s="744" t="e">
        <f>I123-I125</f>
        <v>#REF!</v>
      </c>
      <c r="J127" s="724"/>
      <c r="K127" s="745" t="s">
        <v>0</v>
      </c>
      <c r="L127" s="746" t="s">
        <v>0</v>
      </c>
      <c r="M127" s="744" t="e">
        <f>M123-M125</f>
        <v>#REF!</v>
      </c>
      <c r="N127" s="724"/>
      <c r="O127" s="745" t="s">
        <v>0</v>
      </c>
      <c r="P127" s="746" t="s">
        <v>0</v>
      </c>
      <c r="Q127" s="744" t="e">
        <f>Q123-Q125</f>
        <v>#REF!</v>
      </c>
    </row>
    <row r="130" spans="2:17" ht="16.8">
      <c r="B130" s="731" t="s">
        <v>250</v>
      </c>
      <c r="C130" s="732" t="s">
        <v>0</v>
      </c>
      <c r="D130" s="733" t="s">
        <v>0</v>
      </c>
      <c r="E130" s="738">
        <f>E92</f>
        <v>853900</v>
      </c>
      <c r="F130" s="734"/>
      <c r="G130" s="735" t="s">
        <v>0</v>
      </c>
      <c r="H130" s="736" t="s">
        <v>0</v>
      </c>
      <c r="I130" s="738">
        <f>I92</f>
        <v>86602</v>
      </c>
      <c r="J130" s="737"/>
      <c r="K130" s="735" t="s">
        <v>0</v>
      </c>
      <c r="L130" s="736" t="s">
        <v>0</v>
      </c>
      <c r="M130" s="738">
        <f>M92</f>
        <v>77941.8</v>
      </c>
      <c r="N130" s="737"/>
      <c r="O130" s="735" t="s">
        <v>0</v>
      </c>
      <c r="P130" s="736" t="s">
        <v>0</v>
      </c>
      <c r="Q130" s="738">
        <f>Q92</f>
        <v>3947.125</v>
      </c>
    </row>
    <row r="132" spans="2:17" ht="16.8">
      <c r="B132" s="731" t="s">
        <v>251</v>
      </c>
      <c r="C132" s="732" t="s">
        <v>0</v>
      </c>
      <c r="D132" s="733" t="s">
        <v>0</v>
      </c>
      <c r="E132" s="738">
        <v>1000000</v>
      </c>
      <c r="F132" s="734"/>
      <c r="G132" s="735" t="s">
        <v>0</v>
      </c>
      <c r="H132" s="736" t="s">
        <v>0</v>
      </c>
      <c r="I132" s="738">
        <v>123840</v>
      </c>
      <c r="J132" s="737"/>
      <c r="K132" s="735" t="s">
        <v>0</v>
      </c>
      <c r="L132" s="736" t="s">
        <v>0</v>
      </c>
      <c r="M132" s="738">
        <v>111456</v>
      </c>
      <c r="N132" s="737"/>
      <c r="O132" s="735" t="s">
        <v>0</v>
      </c>
      <c r="P132" s="736" t="s">
        <v>0</v>
      </c>
      <c r="Q132" s="738">
        <v>5354</v>
      </c>
    </row>
    <row r="134" spans="2:17" ht="16.8">
      <c r="B134" s="740" t="s">
        <v>41</v>
      </c>
      <c r="C134" s="725" t="s">
        <v>0</v>
      </c>
      <c r="D134" s="726" t="s">
        <v>0</v>
      </c>
      <c r="E134" s="720">
        <f>E130-E132</f>
        <v>-146100</v>
      </c>
      <c r="F134" s="721"/>
      <c r="G134" s="727" t="s">
        <v>0</v>
      </c>
      <c r="H134" s="728" t="s">
        <v>0</v>
      </c>
      <c r="I134" s="720">
        <f>I130-I132</f>
        <v>-37238</v>
      </c>
      <c r="J134" s="724"/>
      <c r="K134" s="727" t="s">
        <v>0</v>
      </c>
      <c r="L134" s="728" t="s">
        <v>0</v>
      </c>
      <c r="M134" s="720">
        <f>M130-M132</f>
        <v>-33514.199999999997</v>
      </c>
      <c r="N134" s="724"/>
      <c r="O134" s="727" t="s">
        <v>0</v>
      </c>
      <c r="P134" s="728" t="s">
        <v>0</v>
      </c>
      <c r="Q134" s="720">
        <f>Q130-Q132</f>
        <v>-1406.875</v>
      </c>
    </row>
    <row r="135" spans="2:17" ht="13.2" thickBot="1">
      <c r="B135" s="739"/>
      <c r="C135" s="739"/>
      <c r="D135" s="739"/>
      <c r="E135" s="739"/>
      <c r="F135" s="739"/>
      <c r="G135" s="739"/>
      <c r="H135" s="739"/>
      <c r="I135" s="739"/>
      <c r="J135" s="739"/>
      <c r="K135" s="739"/>
      <c r="L135" s="739"/>
      <c r="M135" s="739"/>
      <c r="N135" s="739"/>
      <c r="O135" s="739"/>
      <c r="P135" s="739"/>
      <c r="Q135" s="739"/>
    </row>
    <row r="137" spans="2:17" ht="16.8">
      <c r="B137" s="1214" t="s">
        <v>477</v>
      </c>
      <c r="C137" s="1215"/>
      <c r="D137" s="1215"/>
      <c r="E137" s="738" t="e">
        <f>E123+E130</f>
        <v>#REF!</v>
      </c>
      <c r="F137" s="734"/>
      <c r="G137" s="735" t="s">
        <v>0</v>
      </c>
      <c r="H137" s="736" t="s">
        <v>0</v>
      </c>
      <c r="I137" s="738" t="e">
        <f>I123+I130</f>
        <v>#REF!</v>
      </c>
      <c r="J137" s="737"/>
      <c r="K137" s="735" t="s">
        <v>0</v>
      </c>
      <c r="L137" s="736" t="s">
        <v>0</v>
      </c>
      <c r="M137" s="738" t="e">
        <f>M123+M130</f>
        <v>#REF!</v>
      </c>
      <c r="N137" s="737"/>
      <c r="O137" s="735" t="s">
        <v>0</v>
      </c>
      <c r="P137" s="736" t="s">
        <v>0</v>
      </c>
      <c r="Q137" s="738" t="e">
        <f>Q123+Q130</f>
        <v>#REF!</v>
      </c>
    </row>
    <row r="139" spans="2:17" ht="16.8">
      <c r="B139" s="1214" t="s">
        <v>478</v>
      </c>
      <c r="C139" s="1215"/>
      <c r="D139" s="1215"/>
      <c r="E139" s="738">
        <f>E125+E132</f>
        <v>5455000</v>
      </c>
      <c r="F139" s="734"/>
      <c r="G139" s="735" t="s">
        <v>0</v>
      </c>
      <c r="H139" s="736" t="s">
        <v>0</v>
      </c>
      <c r="I139" s="738">
        <f>I125+I132</f>
        <v>796410</v>
      </c>
      <c r="J139" s="737"/>
      <c r="K139" s="735" t="s">
        <v>0</v>
      </c>
      <c r="L139" s="736" t="s">
        <v>0</v>
      </c>
      <c r="M139" s="738">
        <f>M125+M132</f>
        <v>616702</v>
      </c>
      <c r="N139" s="737"/>
      <c r="O139" s="735" t="s">
        <v>0</v>
      </c>
      <c r="P139" s="736" t="s">
        <v>0</v>
      </c>
      <c r="Q139" s="738">
        <f>Q125+Q132</f>
        <v>41815</v>
      </c>
    </row>
    <row r="141" spans="2:17" ht="16.8">
      <c r="B141" s="741" t="s">
        <v>253</v>
      </c>
      <c r="C141" s="742" t="s">
        <v>0</v>
      </c>
      <c r="D141" s="743" t="s">
        <v>0</v>
      </c>
      <c r="E141" s="744" t="e">
        <f>E137-E139</f>
        <v>#REF!</v>
      </c>
      <c r="F141" s="721"/>
      <c r="G141" s="745" t="s">
        <v>0</v>
      </c>
      <c r="H141" s="746" t="s">
        <v>0</v>
      </c>
      <c r="I141" s="744" t="e">
        <f>I137-I139</f>
        <v>#REF!</v>
      </c>
      <c r="J141" s="724"/>
      <c r="K141" s="745" t="s">
        <v>0</v>
      </c>
      <c r="L141" s="746" t="s">
        <v>0</v>
      </c>
      <c r="M141" s="744" t="e">
        <f>M137-M139</f>
        <v>#REF!</v>
      </c>
      <c r="N141" s="724"/>
      <c r="O141" s="745" t="s">
        <v>0</v>
      </c>
      <c r="P141" s="746" t="s">
        <v>0</v>
      </c>
      <c r="Q141" s="744" t="e">
        <f>Q137-Q139</f>
        <v>#REF!</v>
      </c>
    </row>
  </sheetData>
  <mergeCells count="14">
    <mergeCell ref="B123:C123"/>
    <mergeCell ref="B125:C125"/>
    <mergeCell ref="B137:D137"/>
    <mergeCell ref="B139:D139"/>
    <mergeCell ref="O94:P94"/>
    <mergeCell ref="O71:P71"/>
    <mergeCell ref="A17:A22"/>
    <mergeCell ref="A46:A51"/>
    <mergeCell ref="A31:A32"/>
    <mergeCell ref="S6:Y6"/>
    <mergeCell ref="C6:D6"/>
    <mergeCell ref="G6:H6"/>
    <mergeCell ref="K6:L6"/>
    <mergeCell ref="O6:P6"/>
  </mergeCells>
  <pageMargins left="0.25" right="0.25" top="0.75" bottom="0.75" header="0.3" footer="0.3"/>
  <pageSetup paperSize="3" scale="65" orientation="landscape" horizontalDpi="1200" verticalDpi="1200" r:id="rId1"/>
  <rowBreaks count="2" manualBreakCount="2">
    <brk id="72" max="25" man="1"/>
    <brk id="97" max="25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1df5ecd8-717c-41f2-a604-15453d885bf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FCE9389533F341912E96932A079FE8" ma:contentTypeVersion="7" ma:contentTypeDescription="Create a new document." ma:contentTypeScope="" ma:versionID="6d9cd27840fe901b14843537f4e2198a">
  <xsd:schema xmlns:xsd="http://www.w3.org/2001/XMLSchema" xmlns:xs="http://www.w3.org/2001/XMLSchema" xmlns:p="http://schemas.microsoft.com/office/2006/metadata/properties" xmlns:ns2="1df5ecd8-717c-41f2-a604-15453d885bf8" xmlns:ns3="e6f9b7f0-35b2-48f2-8a8f-370aaa637f72" targetNamespace="http://schemas.microsoft.com/office/2006/metadata/properties" ma:root="true" ma:fieldsID="611e8ded11613a592a888093a48343a3" ns2:_="" ns3:_="">
    <xsd:import namespace="1df5ecd8-717c-41f2-a604-15453d885bf8"/>
    <xsd:import namespace="e6f9b7f0-35b2-48f2-8a8f-370aaa637f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f5ecd8-717c-41f2-a604-15453d885b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14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f9b7f0-35b2-48f2-8a8f-370aaa637f7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D49F0-330F-407C-B0A1-B0A0C6EE34AF}">
  <ds:schemaRefs>
    <ds:schemaRef ds:uri="http://schemas.microsoft.com/office/2006/metadata/properties"/>
    <ds:schemaRef ds:uri="http://schemas.microsoft.com/office/infopath/2007/PartnerControls"/>
    <ds:schemaRef ds:uri="1df5ecd8-717c-41f2-a604-15453d885bf8"/>
  </ds:schemaRefs>
</ds:datastoreItem>
</file>

<file path=customXml/itemProps2.xml><?xml version="1.0" encoding="utf-8"?>
<ds:datastoreItem xmlns:ds="http://schemas.openxmlformats.org/officeDocument/2006/customXml" ds:itemID="{E279B94B-B6B4-4C7D-B017-190B23DFD5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f5ecd8-717c-41f2-a604-15453d885bf8"/>
    <ds:schemaRef ds:uri="e6f9b7f0-35b2-48f2-8a8f-370aaa637f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A2725B4-39A4-4006-9901-2D904BC3E3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Campus MASTER PLAN</vt:lpstr>
      <vt:lpstr>Hospital Program TARGET_DESIGN</vt:lpstr>
      <vt:lpstr>OR &amp; Procedure - Chunks</vt:lpstr>
      <vt:lpstr>Hospital Program per Floor</vt:lpstr>
      <vt:lpstr>Load Assumptions (SEQRA)</vt:lpstr>
      <vt:lpstr>'Campus MASTER PLAN'!Print_Area</vt:lpstr>
      <vt:lpstr>'Hospital Program TARGET_DESIGN'!Print_Area</vt:lpstr>
      <vt:lpstr>'Load Assumptions (SEQRA)'!Print_Area</vt:lpstr>
      <vt:lpstr>'Load Assumptions (SEQRA)'!Print_Titles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SpaceMed Guide</dc:title>
  <dc:subject>Space Planning Template-Feet</dc:subject>
  <dc:creator>Cynthia Hayward</dc:creator>
  <cp:keywords/>
  <dc:description/>
  <cp:lastModifiedBy>Sarko, Melissa</cp:lastModifiedBy>
  <cp:revision/>
  <cp:lastPrinted>2026-03-02T23:13:22Z</cp:lastPrinted>
  <dcterms:created xsi:type="dcterms:W3CDTF">2014-10-20T13:15:05Z</dcterms:created>
  <dcterms:modified xsi:type="dcterms:W3CDTF">2026-03-12T00:46:43Z</dcterms:modified>
  <cp:category/>
  <cp:contentStatus>Version 3.0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0x010100FFFCE9389533F341912E96932A079FE8</vt:lpwstr>
  </property>
  <property fmtid="{D5CDD505-2E9C-101B-9397-08002B2CF9AE}" pid="3" name="MediaServiceImageTags">
    <vt:lpwstr/>
  </property>
</Properties>
</file>