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5.xml" ContentType="application/vnd.openxmlformats-officedocument.spreadsheetml.pivotTable+xml"/>
  <Override PartName="/xl/tables/table3.xml" ContentType="application/vnd.openxmlformats-officedocument.spreadsheetml.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user\Documents\SEEDING AFRICA\"/>
    </mc:Choice>
  </mc:AlternateContent>
  <xr:revisionPtr revIDLastSave="0" documentId="13_ncr:1_{F02632F8-A038-4574-85D1-8C8E048D3D6E}" xr6:coauthVersionLast="47" xr6:coauthVersionMax="47" xr10:uidLastSave="{00000000-0000-0000-0000-000000000000}"/>
  <bookViews>
    <workbookView xWindow="-120" yWindow="-120" windowWidth="20730" windowHeight="11040" firstSheet="19" activeTab="22" xr2:uid="{00000000-000D-0000-FFFF-FFFF00000000}"/>
  </bookViews>
  <sheets>
    <sheet name="Retail_sales_data" sheetId="1" r:id="rId1"/>
    <sheet name="Employee_data" sheetId="2" r:id="rId2"/>
    <sheet name="School_records" sheetId="3" r:id="rId3"/>
    <sheet name="Assignment_Sabrosa" sheetId="7" r:id="rId4"/>
    <sheet name="Employee Payroll" sheetId="5" r:id="rId5"/>
    <sheet name="Employee payroll_Assignment" sheetId="9" r:id="rId6"/>
    <sheet name="GradeBook" sheetId="8" r:id="rId7"/>
    <sheet name="LinearEquation_Assignment" sheetId="11" r:id="rId8"/>
    <sheet name="GradeBook II" sheetId="10" r:id="rId9"/>
    <sheet name="Count&amp;Sum" sheetId="12" r:id="rId10"/>
    <sheet name="Car_Inventory_Dataset" sheetId="28" r:id="rId11"/>
    <sheet name="W_sheet_Car_Inventory" sheetId="27" r:id="rId12"/>
    <sheet name="Pv1_Car_Inventory" sheetId="29" r:id="rId13"/>
    <sheet name="Pv2_Car_Inventory" sheetId="30" r:id="rId14"/>
    <sheet name="Car_Inventory_Analysis_Report" sheetId="31" r:id="rId15"/>
    <sheet name="SalesRecord" sheetId="13" r:id="rId16"/>
    <sheet name="W_sheet_Sales_record" sheetId="14" r:id="rId17"/>
    <sheet name="Pv1_SalesRecord" sheetId="16" r:id="rId18"/>
    <sheet name="Pv2_SalesRecord" sheetId="17" r:id="rId19"/>
    <sheet name="Pv3_SalesRecord" sheetId="18" r:id="rId20"/>
    <sheet name="Pv4_SalesRecord" sheetId="19" r:id="rId21"/>
    <sheet name="Icon_Group_Of_Company" sheetId="20" r:id="rId22"/>
    <sheet name="Pv1_Icon_Group_Of_Company" sheetId="26" r:id="rId23"/>
    <sheet name="Pv2_Icon_Group_Of_Company" sheetId="22" r:id="rId24"/>
    <sheet name="Pv3_Icon_Group_Of_Company" sheetId="23" r:id="rId25"/>
  </sheets>
  <definedNames>
    <definedName name="_xlnm._FilterDatabase" localSheetId="10" hidden="1">Car_Inventory_Dataset!$A$1:$N$53</definedName>
    <definedName name="_xlcn.WorksheetConnection_Car_Inventory_DatasetA1N531" hidden="1">Car_Inventory_Dataset!$A$1:$N$53</definedName>
    <definedName name="_xlcn.WorksheetConnection_Eniola_Seeding_Africa.xlsxTable11" hidden="1">Table1[]</definedName>
    <definedName name="Location">W_sheet_Sales_record!$G$3:$I$3</definedName>
    <definedName name="locations">W_sheet_Sales_record!$G$3:$J$3</definedName>
    <definedName name="Oja">W_sheet_Sales_record!$I$4:$I$15</definedName>
    <definedName name="Slicer_Car_ID">#N/A</definedName>
    <definedName name="Slicer_Car_ID1">#N/A</definedName>
    <definedName name="Slicer_Color">#N/A</definedName>
    <definedName name="Slicer_Covered?">#N/A</definedName>
    <definedName name="Slicer_Miles">#N/A</definedName>
    <definedName name="Slicer_Miles___Year">#N/A</definedName>
    <definedName name="Slicer_Miles___Year1">#N/A</definedName>
    <definedName name="Slicer_Model">#N/A</definedName>
    <definedName name="Slicer_Model__Full_Name">#N/A</definedName>
    <definedName name="Slicer_Model1">#N/A</definedName>
    <definedName name="Taiwo">W_sheet_Sales_record!$H$4:$H$15</definedName>
    <definedName name="Tanke">W_sheet_Sales_record!$G$4:$G$15</definedName>
  </definedNames>
  <calcPr calcId="191029"/>
  <pivotCaches>
    <pivotCache cacheId="0" r:id="rId26"/>
    <pivotCache cacheId="1" r:id="rId27"/>
    <pivotCache cacheId="2" r:id="rId28"/>
    <pivotCache cacheId="3" r:id="rId29"/>
    <pivotCache cacheId="4" r:id="rId30"/>
    <pivotCache cacheId="5" r:id="rId31"/>
    <pivotCache cacheId="6" r:id="rId32"/>
    <pivotCache cacheId="7" r:id="rId33"/>
    <pivotCache cacheId="8" r:id="rId34"/>
    <pivotCache cacheId="9" r:id="rId35"/>
    <pivotCache cacheId="10" r:id="rId36"/>
    <pivotCache cacheId="11" r:id="rId37"/>
    <pivotCache cacheId="12" r:id="rId38"/>
    <pivotCache cacheId="13" r:id="rId39"/>
    <pivotCache cacheId="14" r:id="rId40"/>
    <pivotCache cacheId="31" r:id="rId41"/>
  </pivotCaches>
  <extLst>
    <ext xmlns:x14="http://schemas.microsoft.com/office/spreadsheetml/2009/9/main" uri="{876F7934-8845-4945-9796-88D515C7AA90}">
      <x14:pivotCaches>
        <pivotCache cacheId="16" r:id="rId42"/>
      </x14:pivotCaches>
    </ext>
    <ext xmlns:x14="http://schemas.microsoft.com/office/spreadsheetml/2009/9/main" uri="{BBE1A952-AA13-448e-AADC-164F8A28A991}">
      <x14:slicerCaches>
        <x14:slicerCache r:id="rId43"/>
        <x14:slicerCache r:id="rId44"/>
        <x14:slicerCache r:id="rId45"/>
        <x14:slicerCache r:id="rId46"/>
        <x14:slicerCache r:id="rId47"/>
        <x14:slicerCache r:id="rId48"/>
        <x14:slicerCache r:id="rId49"/>
        <x14:slicerCache r:id="rId50"/>
        <x14:slicerCache r:id="rId51"/>
        <x14:slicerCache r:id="rId5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niola_Seeding_Africa.xlsx!Table1"/>
          <x15:modelTable id="Range" name="Range" connection="WorksheetConnection_Car_Inventory_Dataset!$A$1:$N$5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20" l="1"/>
  <c r="I4" i="20"/>
  <c r="I5" i="20"/>
  <c r="I6" i="20"/>
  <c r="I7" i="20"/>
  <c r="I8" i="20"/>
  <c r="I9" i="20"/>
  <c r="I10" i="20"/>
  <c r="I11" i="20"/>
  <c r="I12" i="20"/>
  <c r="I13" i="20"/>
  <c r="I14" i="20"/>
  <c r="I15" i="20"/>
  <c r="I16" i="20"/>
  <c r="I17" i="20"/>
  <c r="I18" i="20"/>
  <c r="I19" i="20"/>
  <c r="I20" i="20"/>
  <c r="I21" i="20"/>
  <c r="I22" i="20"/>
  <c r="J3" i="20" a="1"/>
  <c r="J3" i="20" s="1"/>
  <c r="N3" i="28"/>
  <c r="N4" i="28"/>
  <c r="N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41" i="28"/>
  <c r="N42" i="28"/>
  <c r="N43" i="28"/>
  <c r="N44" i="28"/>
  <c r="N45" i="28"/>
  <c r="N46" i="28"/>
  <c r="N47" i="28"/>
  <c r="N48" i="28"/>
  <c r="N49" i="28"/>
  <c r="N50" i="28"/>
  <c r="N51" i="28"/>
  <c r="N52" i="28"/>
  <c r="N53" i="28"/>
  <c r="N2" i="28"/>
  <c r="M3" i="28"/>
  <c r="M4" i="28"/>
  <c r="M5" i="28"/>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41" i="28"/>
  <c r="M42" i="28"/>
  <c r="M43" i="28"/>
  <c r="M44" i="28"/>
  <c r="M45" i="28"/>
  <c r="M46" i="28"/>
  <c r="M47" i="28"/>
  <c r="M48" i="28"/>
  <c r="M49" i="28"/>
  <c r="M50" i="28"/>
  <c r="M51" i="28"/>
  <c r="M52" i="28"/>
  <c r="M53" i="28"/>
  <c r="M2" i="28"/>
  <c r="I3" i="28"/>
  <c r="I4" i="28"/>
  <c r="I5"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2" i="28"/>
  <c r="G3" i="28"/>
  <c r="G4" i="28"/>
  <c r="G5" i="28"/>
  <c r="G6" i="28"/>
  <c r="G7" i="28"/>
  <c r="G8" i="28"/>
  <c r="G9" i="28"/>
  <c r="G10" i="28"/>
  <c r="G11" i="28"/>
  <c r="G12" i="28"/>
  <c r="G13" i="28"/>
  <c r="G14" i="28"/>
  <c r="G15"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2"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2" i="28"/>
  <c r="E2" i="27" a="1"/>
  <c r="E2" i="27" s="1"/>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2" i="28"/>
  <c r="C3" i="28"/>
  <c r="C4" i="28"/>
  <c r="C5" i="28"/>
  <c r="C6" i="28"/>
  <c r="C7" i="28"/>
  <c r="C8" i="28"/>
  <c r="C9" i="28"/>
  <c r="C10" i="28"/>
  <c r="C11" i="28"/>
  <c r="C12" i="28"/>
  <c r="C13" i="28"/>
  <c r="C14" i="28"/>
  <c r="C15" i="28"/>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44" i="28"/>
  <c r="C45" i="28"/>
  <c r="C46" i="28"/>
  <c r="C47" i="28"/>
  <c r="C48" i="28"/>
  <c r="C49" i="28"/>
  <c r="C50" i="28"/>
  <c r="C51" i="28"/>
  <c r="C52" i="28"/>
  <c r="C53" i="28"/>
  <c r="C2" i="28"/>
  <c r="B4" i="28"/>
  <c r="B5" i="28"/>
  <c r="B6" i="28"/>
  <c r="B7" i="28"/>
  <c r="B8" i="28"/>
  <c r="B9" i="28"/>
  <c r="B10" i="28"/>
  <c r="B11" i="28"/>
  <c r="B12" i="28"/>
  <c r="B13" i="28"/>
  <c r="B14" i="28"/>
  <c r="B15" i="28"/>
  <c r="B16" i="28"/>
  <c r="B17" i="28"/>
  <c r="B18" i="28"/>
  <c r="B19" i="28"/>
  <c r="B20" i="28"/>
  <c r="B21" i="28"/>
  <c r="B22" i="28"/>
  <c r="B23" i="28"/>
  <c r="B24" i="28"/>
  <c r="A2" i="27" s="1" a="1"/>
  <c r="A2" i="27" s="1"/>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3" i="28"/>
  <c r="B2" i="28"/>
  <c r="E6" i="13"/>
  <c r="G6" i="13" s="1"/>
  <c r="E3" i="13"/>
  <c r="G3" i="13" s="1"/>
  <c r="E4" i="13"/>
  <c r="E5" i="13"/>
  <c r="E7" i="13"/>
  <c r="E8" i="13"/>
  <c r="E9" i="13"/>
  <c r="E10" i="13"/>
  <c r="G10" i="13" s="1"/>
  <c r="E11" i="13"/>
  <c r="E12" i="13"/>
  <c r="E13" i="13"/>
  <c r="E14" i="13"/>
  <c r="E15" i="13"/>
  <c r="E16" i="13"/>
  <c r="E17" i="13"/>
  <c r="E18" i="13"/>
  <c r="G18" i="13" s="1"/>
  <c r="E19" i="13"/>
  <c r="E20" i="13"/>
  <c r="E21" i="13"/>
  <c r="E22" i="13"/>
  <c r="E23" i="13"/>
  <c r="E24" i="13"/>
  <c r="E25" i="13"/>
  <c r="E26" i="13"/>
  <c r="G26" i="13" s="1"/>
  <c r="E27" i="13"/>
  <c r="E28" i="13"/>
  <c r="E29" i="13"/>
  <c r="E30" i="13"/>
  <c r="E31" i="13"/>
  <c r="E32" i="13"/>
  <c r="E33" i="13"/>
  <c r="E34" i="13"/>
  <c r="G34" i="13" s="1"/>
  <c r="E35" i="13"/>
  <c r="E36" i="13"/>
  <c r="E37" i="13"/>
  <c r="E38" i="13"/>
  <c r="E39" i="13"/>
  <c r="E40" i="13"/>
  <c r="E41" i="13"/>
  <c r="E42" i="13"/>
  <c r="G42" i="13" s="1"/>
  <c r="E43" i="13"/>
  <c r="E44" i="13"/>
  <c r="E45" i="13"/>
  <c r="E46" i="13"/>
  <c r="E47" i="13"/>
  <c r="E48" i="13"/>
  <c r="E49" i="13"/>
  <c r="E50" i="13"/>
  <c r="G50" i="13" s="1"/>
  <c r="E51" i="13"/>
  <c r="E52" i="13"/>
  <c r="E53" i="13"/>
  <c r="E54" i="13"/>
  <c r="E55" i="13"/>
  <c r="E56" i="13"/>
  <c r="E57" i="13"/>
  <c r="E58" i="13"/>
  <c r="G58" i="13" s="1"/>
  <c r="E59" i="13"/>
  <c r="E60" i="13"/>
  <c r="E61" i="13"/>
  <c r="E62" i="13"/>
  <c r="E63" i="13"/>
  <c r="E64" i="13"/>
  <c r="E65" i="13"/>
  <c r="E66" i="13"/>
  <c r="G66" i="13" s="1"/>
  <c r="E67" i="13"/>
  <c r="E68" i="13"/>
  <c r="E69" i="13"/>
  <c r="E70" i="13"/>
  <c r="E71" i="13"/>
  <c r="E72" i="13"/>
  <c r="E73" i="13"/>
  <c r="E74" i="13"/>
  <c r="G74" i="13" s="1"/>
  <c r="E75" i="13"/>
  <c r="E76" i="13"/>
  <c r="E77" i="13"/>
  <c r="E78" i="13"/>
  <c r="E79" i="13"/>
  <c r="E80" i="13"/>
  <c r="E81" i="13"/>
  <c r="E82" i="13"/>
  <c r="G82" i="13" s="1"/>
  <c r="E83" i="13"/>
  <c r="E84" i="13"/>
  <c r="E85" i="13"/>
  <c r="E86" i="13"/>
  <c r="E87" i="13"/>
  <c r="E88" i="13"/>
  <c r="E89" i="13"/>
  <c r="E90" i="13"/>
  <c r="G90" i="13" s="1"/>
  <c r="E91" i="13"/>
  <c r="E92" i="13"/>
  <c r="E93" i="13"/>
  <c r="E94" i="13"/>
  <c r="E95" i="13"/>
  <c r="E96" i="13"/>
  <c r="E97" i="13"/>
  <c r="E98" i="13"/>
  <c r="G98" i="13" s="1"/>
  <c r="E99" i="13"/>
  <c r="E100" i="13"/>
  <c r="E101" i="13"/>
  <c r="E102" i="13"/>
  <c r="E103" i="13"/>
  <c r="E104" i="13"/>
  <c r="E105" i="13"/>
  <c r="E106" i="13"/>
  <c r="G106" i="13" s="1"/>
  <c r="E107" i="13"/>
  <c r="E108" i="13"/>
  <c r="E109" i="13"/>
  <c r="E110" i="13"/>
  <c r="E111" i="13"/>
  <c r="E112" i="13"/>
  <c r="E113" i="13"/>
  <c r="E114" i="13"/>
  <c r="G114" i="13" s="1"/>
  <c r="E115" i="13"/>
  <c r="E116" i="13"/>
  <c r="E117" i="13"/>
  <c r="E118" i="13"/>
  <c r="E119" i="13"/>
  <c r="E120" i="13"/>
  <c r="E121" i="13"/>
  <c r="E122" i="13"/>
  <c r="G122" i="13" s="1"/>
  <c r="E123" i="13"/>
  <c r="E124" i="13"/>
  <c r="E125" i="13"/>
  <c r="E126" i="13"/>
  <c r="E127" i="13"/>
  <c r="E128" i="13"/>
  <c r="E129" i="13"/>
  <c r="E130" i="13"/>
  <c r="G130" i="13" s="1"/>
  <c r="E131" i="13"/>
  <c r="E132" i="13"/>
  <c r="E133" i="13"/>
  <c r="E134" i="13"/>
  <c r="E135" i="13"/>
  <c r="E136" i="13"/>
  <c r="G136" i="13" s="1"/>
  <c r="E137" i="13"/>
  <c r="E138" i="13"/>
  <c r="G138" i="13" s="1"/>
  <c r="E139" i="13"/>
  <c r="E140" i="13"/>
  <c r="G140" i="13" s="1"/>
  <c r="E141" i="13"/>
  <c r="E142" i="13"/>
  <c r="E143" i="13"/>
  <c r="E144" i="13"/>
  <c r="E145" i="13"/>
  <c r="E146" i="13"/>
  <c r="G146" i="13" s="1"/>
  <c r="E147" i="13"/>
  <c r="E148" i="13"/>
  <c r="G148" i="13" s="1"/>
  <c r="E149" i="13"/>
  <c r="E150" i="13"/>
  <c r="G150" i="13" s="1"/>
  <c r="E151" i="13"/>
  <c r="E152" i="13"/>
  <c r="G4" i="13"/>
  <c r="G5" i="13"/>
  <c r="G8" i="13"/>
  <c r="G9" i="13"/>
  <c r="G12" i="13"/>
  <c r="G13" i="13"/>
  <c r="G16" i="13"/>
  <c r="G17" i="13"/>
  <c r="G20" i="13"/>
  <c r="G21" i="13"/>
  <c r="G24" i="13"/>
  <c r="G25" i="13"/>
  <c r="G28" i="13"/>
  <c r="G29" i="13"/>
  <c r="G32" i="13"/>
  <c r="G33" i="13"/>
  <c r="G36" i="13"/>
  <c r="G37" i="13"/>
  <c r="G40" i="13"/>
  <c r="G41" i="13"/>
  <c r="G44" i="13"/>
  <c r="G45" i="13"/>
  <c r="G48" i="13"/>
  <c r="G49" i="13"/>
  <c r="G52" i="13"/>
  <c r="G53" i="13"/>
  <c r="G56" i="13"/>
  <c r="G57" i="13"/>
  <c r="G60" i="13"/>
  <c r="G61" i="13"/>
  <c r="G64" i="13"/>
  <c r="G65" i="13"/>
  <c r="G68" i="13"/>
  <c r="G69" i="13"/>
  <c r="G72" i="13"/>
  <c r="G73" i="13"/>
  <c r="G76" i="13"/>
  <c r="G77" i="13"/>
  <c r="G80" i="13"/>
  <c r="G81" i="13"/>
  <c r="G84" i="13"/>
  <c r="G85" i="13"/>
  <c r="G88" i="13"/>
  <c r="G89" i="13"/>
  <c r="G92" i="13"/>
  <c r="G93" i="13"/>
  <c r="G96" i="13"/>
  <c r="G97" i="13"/>
  <c r="G100" i="13"/>
  <c r="G101" i="13"/>
  <c r="G104" i="13"/>
  <c r="G105" i="13"/>
  <c r="G108" i="13"/>
  <c r="G109" i="13"/>
  <c r="G112" i="13"/>
  <c r="G113" i="13"/>
  <c r="G116" i="13"/>
  <c r="G117" i="13"/>
  <c r="G120" i="13"/>
  <c r="G121" i="13"/>
  <c r="G124" i="13"/>
  <c r="G125" i="13"/>
  <c r="G128" i="13"/>
  <c r="G129" i="13"/>
  <c r="G132" i="13"/>
  <c r="G133" i="13"/>
  <c r="G137" i="13"/>
  <c r="G145" i="13"/>
  <c r="G149" i="13"/>
  <c r="B63" i="26"/>
  <c r="L3" i="20"/>
  <c r="L4" i="20"/>
  <c r="L5" i="20"/>
  <c r="L6" i="20"/>
  <c r="L7" i="20"/>
  <c r="L8" i="20"/>
  <c r="L9" i="20"/>
  <c r="L10" i="20"/>
  <c r="L11" i="20"/>
  <c r="L12" i="20"/>
  <c r="L13" i="20"/>
  <c r="L14" i="20"/>
  <c r="L15" i="20"/>
  <c r="L16" i="20"/>
  <c r="L17" i="20"/>
  <c r="L18" i="20"/>
  <c r="L19" i="20"/>
  <c r="L20" i="20"/>
  <c r="L21" i="20"/>
  <c r="L22" i="20"/>
  <c r="H3" i="20"/>
  <c r="H4" i="20"/>
  <c r="J4" i="20" s="1" a="1"/>
  <c r="J4" i="20" s="1"/>
  <c r="K4" i="20" s="1" a="1"/>
  <c r="K4" i="20" s="1"/>
  <c r="H5" i="20"/>
  <c r="J5" i="20" s="1" a="1"/>
  <c r="J5" i="20" s="1"/>
  <c r="K5" i="20" s="1" a="1"/>
  <c r="K5" i="20" s="1"/>
  <c r="H6" i="20"/>
  <c r="H7" i="20"/>
  <c r="J7" i="20" s="1" a="1"/>
  <c r="J7" i="20" s="1"/>
  <c r="K7" i="20" s="1" a="1"/>
  <c r="K7" i="20" s="1"/>
  <c r="H8" i="20"/>
  <c r="J8" i="20" s="1" a="1"/>
  <c r="J8" i="20" s="1"/>
  <c r="K8" i="20" s="1" a="1"/>
  <c r="K8" i="20" s="1"/>
  <c r="H9" i="20"/>
  <c r="J9" i="20" s="1" a="1"/>
  <c r="J9" i="20" s="1"/>
  <c r="K9" i="20" s="1" a="1"/>
  <c r="K9" i="20" s="1"/>
  <c r="H10" i="20"/>
  <c r="H11" i="20"/>
  <c r="J11" i="20" s="1" a="1"/>
  <c r="J11" i="20" s="1"/>
  <c r="K11" i="20" s="1" a="1"/>
  <c r="K11" i="20" s="1"/>
  <c r="H12" i="20"/>
  <c r="J12" i="20" s="1" a="1"/>
  <c r="J12" i="20" s="1"/>
  <c r="K12" i="20" s="1" a="1"/>
  <c r="K12" i="20" s="1"/>
  <c r="H13" i="20"/>
  <c r="J13" i="20" s="1" a="1"/>
  <c r="J13" i="20" s="1"/>
  <c r="K13" i="20" s="1" a="1"/>
  <c r="K13" i="20" s="1"/>
  <c r="H14" i="20"/>
  <c r="H15" i="20"/>
  <c r="J15" i="20" s="1" a="1"/>
  <c r="J15" i="20" s="1"/>
  <c r="K15" i="20" s="1" a="1"/>
  <c r="K15" i="20" s="1"/>
  <c r="H16" i="20"/>
  <c r="J16" i="20" s="1" a="1"/>
  <c r="J16" i="20" s="1"/>
  <c r="K16" i="20" s="1" a="1"/>
  <c r="K16" i="20" s="1"/>
  <c r="H17" i="20"/>
  <c r="J17" i="20" s="1" a="1"/>
  <c r="J17" i="20" s="1"/>
  <c r="K17" i="20" s="1" a="1"/>
  <c r="K17" i="20" s="1"/>
  <c r="H18" i="20"/>
  <c r="H19" i="20"/>
  <c r="J19" i="20" s="1" a="1"/>
  <c r="J19" i="20" s="1"/>
  <c r="K19" i="20" s="1" a="1"/>
  <c r="K19" i="20" s="1"/>
  <c r="H20" i="20"/>
  <c r="J20" i="20" s="1" a="1"/>
  <c r="J20" i="20" s="1"/>
  <c r="K20" i="20" s="1" a="1"/>
  <c r="K20" i="20" s="1"/>
  <c r="H21" i="20"/>
  <c r="J21" i="20" s="1" a="1"/>
  <c r="J21" i="20" s="1"/>
  <c r="K21" i="20" s="1" a="1"/>
  <c r="K21" i="20" s="1"/>
  <c r="H22" i="20"/>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G141" i="13"/>
  <c r="G7" i="13"/>
  <c r="G11" i="13"/>
  <c r="G14" i="13"/>
  <c r="G15" i="13"/>
  <c r="G19" i="13"/>
  <c r="G22" i="13"/>
  <c r="G23" i="13"/>
  <c r="G27" i="13"/>
  <c r="G30" i="13"/>
  <c r="G31" i="13"/>
  <c r="G35" i="13"/>
  <c r="G38" i="13"/>
  <c r="G39" i="13"/>
  <c r="G43" i="13"/>
  <c r="G46" i="13"/>
  <c r="G47" i="13"/>
  <c r="G51" i="13"/>
  <c r="G54" i="13"/>
  <c r="G55" i="13"/>
  <c r="G59" i="13"/>
  <c r="G62" i="13"/>
  <c r="G63" i="13"/>
  <c r="G67" i="13"/>
  <c r="G70" i="13"/>
  <c r="G71" i="13"/>
  <c r="G75" i="13"/>
  <c r="G78" i="13"/>
  <c r="G79" i="13"/>
  <c r="G83" i="13"/>
  <c r="G86" i="13"/>
  <c r="G87" i="13"/>
  <c r="G91" i="13"/>
  <c r="G94" i="13"/>
  <c r="G95" i="13"/>
  <c r="G99" i="13"/>
  <c r="G102" i="13"/>
  <c r="G103" i="13"/>
  <c r="G107" i="13"/>
  <c r="G110" i="13"/>
  <c r="G111" i="13"/>
  <c r="G115" i="13"/>
  <c r="G118" i="13"/>
  <c r="G119" i="13"/>
  <c r="G123" i="13"/>
  <c r="G126" i="13"/>
  <c r="G127" i="13"/>
  <c r="G131" i="13"/>
  <c r="G134" i="13"/>
  <c r="G135" i="13"/>
  <c r="G139" i="13"/>
  <c r="G142" i="13"/>
  <c r="G143" i="13"/>
  <c r="G144" i="13"/>
  <c r="G147" i="13"/>
  <c r="G151" i="13"/>
  <c r="G152" i="13"/>
  <c r="O4" i="10"/>
  <c r="H27" i="12"/>
  <c r="H26" i="12"/>
  <c r="H25" i="12"/>
  <c r="H24" i="12"/>
  <c r="H23" i="12"/>
  <c r="H22" i="12"/>
  <c r="Z4" i="10" a="1"/>
  <c r="Z4" i="10" s="1"/>
  <c r="B4" i="11"/>
  <c r="A6" i="11"/>
  <c r="A7" i="11" s="1"/>
  <c r="A8" i="11" s="1"/>
  <c r="A9" i="11" s="1"/>
  <c r="A10" i="11" s="1"/>
  <c r="A11" i="11" s="1"/>
  <c r="A12" i="11" s="1"/>
  <c r="B12" i="11" s="1"/>
  <c r="A5" i="11"/>
  <c r="B5" i="11" s="1"/>
  <c r="Z5" i="10" a="1"/>
  <c r="Z5" i="10" s="1"/>
  <c r="Z6" i="10" a="1"/>
  <c r="Z6" i="10"/>
  <c r="Z7" i="10" a="1"/>
  <c r="Z7" i="10" s="1"/>
  <c r="Z8" i="10" a="1"/>
  <c r="Z8" i="10"/>
  <c r="Z9" i="10" a="1"/>
  <c r="Z9" i="10" s="1"/>
  <c r="Z10" i="10" a="1"/>
  <c r="Z10" i="10"/>
  <c r="Z11" i="10" a="1"/>
  <c r="Z11" i="10" s="1"/>
  <c r="Z12" i="10" a="1"/>
  <c r="Z12" i="10"/>
  <c r="Z13" i="10" a="1"/>
  <c r="Z13" i="10" s="1"/>
  <c r="Z14" i="10" a="1"/>
  <c r="Z14" i="10"/>
  <c r="Z15" i="10" a="1"/>
  <c r="Z15" i="10" s="1"/>
  <c r="Z16" i="10" a="1"/>
  <c r="Z16" i="10" s="1"/>
  <c r="Z17" i="10" a="1"/>
  <c r="Z17" i="10" s="1"/>
  <c r="Z18" i="10" a="1"/>
  <c r="Z18" i="10"/>
  <c r="Z19" i="10" a="1"/>
  <c r="Z19" i="10" s="1"/>
  <c r="Z20" i="10" a="1"/>
  <c r="Z20" i="10"/>
  <c r="O5" i="10"/>
  <c r="O6" i="10"/>
  <c r="O7" i="10"/>
  <c r="O8" i="10"/>
  <c r="O9" i="10"/>
  <c r="O10" i="10"/>
  <c r="O11" i="10"/>
  <c r="O12" i="10"/>
  <c r="O13" i="10"/>
  <c r="O14" i="10"/>
  <c r="O15" i="10"/>
  <c r="O16" i="10"/>
  <c r="O17" i="10"/>
  <c r="O18" i="10"/>
  <c r="O19" i="10"/>
  <c r="O20" i="10"/>
  <c r="N5" i="10"/>
  <c r="N6" i="10"/>
  <c r="N7" i="10"/>
  <c r="N8" i="10"/>
  <c r="N9" i="10"/>
  <c r="N10" i="10"/>
  <c r="N11" i="10"/>
  <c r="N12" i="10"/>
  <c r="N13" i="10"/>
  <c r="N14" i="10"/>
  <c r="N15" i="10"/>
  <c r="N16" i="10"/>
  <c r="N17" i="10"/>
  <c r="N18" i="10"/>
  <c r="N19" i="10"/>
  <c r="N20" i="10"/>
  <c r="N4" i="10"/>
  <c r="M5" i="10" a="1"/>
  <c r="M5" i="10" s="1"/>
  <c r="M6" i="10" a="1"/>
  <c r="M6" i="10"/>
  <c r="M7" i="10" a="1"/>
  <c r="M7" i="10" s="1"/>
  <c r="M8" i="10" a="1"/>
  <c r="M8" i="10"/>
  <c r="M9" i="10" a="1"/>
  <c r="M9" i="10" s="1"/>
  <c r="M10" i="10" a="1"/>
  <c r="M10" i="10"/>
  <c r="M11" i="10" a="1"/>
  <c r="M11" i="10" s="1"/>
  <c r="M12" i="10" a="1"/>
  <c r="M12" i="10"/>
  <c r="M13" i="10" a="1"/>
  <c r="M13" i="10" s="1"/>
  <c r="M14" i="10" a="1"/>
  <c r="M14" i="10"/>
  <c r="M15" i="10" a="1"/>
  <c r="M15" i="10" s="1"/>
  <c r="M16" i="10" a="1"/>
  <c r="M16" i="10"/>
  <c r="M17" i="10" a="1"/>
  <c r="M17" i="10" s="1"/>
  <c r="M18" i="10" a="1"/>
  <c r="M18" i="10"/>
  <c r="M19" i="10" a="1"/>
  <c r="M19" i="10" s="1"/>
  <c r="M20" i="10" a="1"/>
  <c r="M20" i="10"/>
  <c r="M4" i="10" a="1"/>
  <c r="M4" i="10" s="1"/>
  <c r="L5" i="10"/>
  <c r="L6" i="10"/>
  <c r="L7" i="10"/>
  <c r="L8" i="10"/>
  <c r="L9" i="10"/>
  <c r="L10" i="10"/>
  <c r="L11" i="10"/>
  <c r="L12" i="10"/>
  <c r="L13" i="10"/>
  <c r="L14" i="10"/>
  <c r="L15" i="10"/>
  <c r="L16" i="10"/>
  <c r="L17" i="10"/>
  <c r="L18" i="10"/>
  <c r="L19" i="10"/>
  <c r="L20" i="10"/>
  <c r="L4" i="10"/>
  <c r="K5" i="10"/>
  <c r="K6" i="10"/>
  <c r="K7" i="10"/>
  <c r="K8" i="10"/>
  <c r="K9" i="10"/>
  <c r="K10" i="10"/>
  <c r="K11" i="10"/>
  <c r="K12" i="10"/>
  <c r="K13" i="10"/>
  <c r="K14" i="10"/>
  <c r="K15" i="10"/>
  <c r="K16" i="10"/>
  <c r="K17" i="10"/>
  <c r="K18" i="10"/>
  <c r="K19" i="10"/>
  <c r="K20" i="10"/>
  <c r="K4" i="10"/>
  <c r="M5" i="8"/>
  <c r="M6" i="8"/>
  <c r="M7" i="8"/>
  <c r="M8" i="8"/>
  <c r="M9" i="8"/>
  <c r="M10" i="8"/>
  <c r="M11" i="8"/>
  <c r="M12" i="8"/>
  <c r="M13" i="8"/>
  <c r="M14" i="8"/>
  <c r="M15" i="8"/>
  <c r="M16" i="8"/>
  <c r="M17" i="8"/>
  <c r="M18" i="8"/>
  <c r="M19" i="8"/>
  <c r="M20" i="8"/>
  <c r="M4" i="8"/>
  <c r="K20" i="8"/>
  <c r="J20" i="8"/>
  <c r="I20" i="8"/>
  <c r="H20" i="8"/>
  <c r="D26" i="9"/>
  <c r="D25" i="9"/>
  <c r="D24" i="9"/>
  <c r="C24" i="9"/>
  <c r="C25" i="9"/>
  <c r="D23" i="9"/>
  <c r="C26" i="9"/>
  <c r="C23" i="9"/>
  <c r="AC6" i="9"/>
  <c r="AC7" i="9"/>
  <c r="AC8" i="9"/>
  <c r="AC9" i="9"/>
  <c r="AC10" i="9"/>
  <c r="AC11" i="9"/>
  <c r="AC12" i="9"/>
  <c r="AC13" i="9"/>
  <c r="AC14" i="9"/>
  <c r="AC15" i="9"/>
  <c r="AC16" i="9"/>
  <c r="AC17" i="9"/>
  <c r="AC18" i="9"/>
  <c r="AC19" i="9"/>
  <c r="AC20" i="9"/>
  <c r="AC21" i="9"/>
  <c r="Y5" i="9"/>
  <c r="AC5" i="9" s="1"/>
  <c r="Z5" i="9"/>
  <c r="AA5" i="9"/>
  <c r="AB5" i="9"/>
  <c r="Y6" i="9"/>
  <c r="Z6" i="9"/>
  <c r="AA6" i="9"/>
  <c r="AB6" i="9"/>
  <c r="Y7" i="9"/>
  <c r="Z7" i="9"/>
  <c r="AA7" i="9"/>
  <c r="AB7" i="9"/>
  <c r="Y8" i="9"/>
  <c r="Z8" i="9"/>
  <c r="AA8" i="9"/>
  <c r="AB8" i="9"/>
  <c r="Y9" i="9"/>
  <c r="Z9" i="9"/>
  <c r="AA9" i="9"/>
  <c r="AB9" i="9"/>
  <c r="Y10" i="9"/>
  <c r="Z10" i="9"/>
  <c r="AA10" i="9"/>
  <c r="AB10" i="9"/>
  <c r="Y11" i="9"/>
  <c r="Z11" i="9"/>
  <c r="AA11" i="9"/>
  <c r="AB11" i="9"/>
  <c r="Y12" i="9"/>
  <c r="Z12" i="9"/>
  <c r="AA12" i="9"/>
  <c r="AB12" i="9"/>
  <c r="Y13" i="9"/>
  <c r="Z13" i="9"/>
  <c r="AA13" i="9"/>
  <c r="AB13" i="9"/>
  <c r="Y14" i="9"/>
  <c r="Z14" i="9"/>
  <c r="AA14" i="9"/>
  <c r="AB14" i="9"/>
  <c r="Y15" i="9"/>
  <c r="Z15" i="9"/>
  <c r="AA15" i="9"/>
  <c r="AB15" i="9"/>
  <c r="Y16" i="9"/>
  <c r="Z16" i="9"/>
  <c r="AA16" i="9"/>
  <c r="AB16" i="9"/>
  <c r="Y17" i="9"/>
  <c r="Z17" i="9"/>
  <c r="AA17" i="9"/>
  <c r="AB17" i="9"/>
  <c r="Y18" i="9"/>
  <c r="Z18" i="9"/>
  <c r="AA18" i="9"/>
  <c r="AB18" i="9"/>
  <c r="Y19" i="9"/>
  <c r="Z19" i="9"/>
  <c r="AA19" i="9"/>
  <c r="AB19" i="9"/>
  <c r="Y20" i="9"/>
  <c r="Z20" i="9"/>
  <c r="AA20" i="9"/>
  <c r="AB20" i="9"/>
  <c r="Y21" i="9"/>
  <c r="Z21" i="9"/>
  <c r="AA21" i="9"/>
  <c r="AB21" i="9"/>
  <c r="X6" i="9"/>
  <c r="X7" i="9"/>
  <c r="X8" i="9"/>
  <c r="X9" i="9"/>
  <c r="X10" i="9"/>
  <c r="X11" i="9"/>
  <c r="X12" i="9"/>
  <c r="X13" i="9"/>
  <c r="X14" i="9"/>
  <c r="X15" i="9"/>
  <c r="X16" i="9"/>
  <c r="X17" i="9"/>
  <c r="X18" i="9"/>
  <c r="X19" i="9"/>
  <c r="X20" i="9"/>
  <c r="X21" i="9"/>
  <c r="X5" i="5"/>
  <c r="X5" i="9"/>
  <c r="T5" i="9"/>
  <c r="U5" i="9"/>
  <c r="V5" i="9"/>
  <c r="W5" i="9"/>
  <c r="T6" i="9"/>
  <c r="U6" i="9"/>
  <c r="V6" i="9"/>
  <c r="W6" i="9"/>
  <c r="T7" i="9"/>
  <c r="U7" i="9"/>
  <c r="V7" i="9"/>
  <c r="W7" i="9"/>
  <c r="T8" i="9"/>
  <c r="U8" i="9"/>
  <c r="V8" i="9"/>
  <c r="W8" i="9"/>
  <c r="T9" i="9"/>
  <c r="U9" i="9"/>
  <c r="V9" i="9"/>
  <c r="W9" i="9"/>
  <c r="T10" i="9"/>
  <c r="U10" i="9"/>
  <c r="V10" i="9"/>
  <c r="W10" i="9"/>
  <c r="T11" i="9"/>
  <c r="U11" i="9"/>
  <c r="V11" i="9"/>
  <c r="W11" i="9"/>
  <c r="T12" i="9"/>
  <c r="U12" i="9"/>
  <c r="V12" i="9"/>
  <c r="W12" i="9"/>
  <c r="T13" i="9"/>
  <c r="U13" i="9"/>
  <c r="V13" i="9"/>
  <c r="W13" i="9"/>
  <c r="T14" i="9"/>
  <c r="U14" i="9"/>
  <c r="V14" i="9"/>
  <c r="W14" i="9"/>
  <c r="T15" i="9"/>
  <c r="U15" i="9"/>
  <c r="V15" i="9"/>
  <c r="W15" i="9"/>
  <c r="T16" i="9"/>
  <c r="U16" i="9"/>
  <c r="V16" i="9"/>
  <c r="W16" i="9"/>
  <c r="T17" i="9"/>
  <c r="U17" i="9"/>
  <c r="V17" i="9"/>
  <c r="W17" i="9"/>
  <c r="T18" i="9"/>
  <c r="U18" i="9"/>
  <c r="V18" i="9"/>
  <c r="W18" i="9"/>
  <c r="T19" i="9"/>
  <c r="U19" i="9"/>
  <c r="V19" i="9"/>
  <c r="W19" i="9"/>
  <c r="T20" i="9"/>
  <c r="U20" i="9"/>
  <c r="V20" i="9"/>
  <c r="W20" i="9"/>
  <c r="T21" i="9"/>
  <c r="U21" i="9"/>
  <c r="V21" i="9"/>
  <c r="W21" i="9"/>
  <c r="S6" i="9"/>
  <c r="S7" i="9"/>
  <c r="S8" i="9"/>
  <c r="S9" i="9"/>
  <c r="S10" i="9"/>
  <c r="S11" i="9"/>
  <c r="S12" i="9"/>
  <c r="S13" i="9"/>
  <c r="S14" i="9"/>
  <c r="S15" i="9"/>
  <c r="S16" i="9"/>
  <c r="S17" i="9"/>
  <c r="S18" i="9"/>
  <c r="S19" i="9"/>
  <c r="S20" i="9"/>
  <c r="S21" i="9"/>
  <c r="U5" i="5"/>
  <c r="S5" i="5"/>
  <c r="S5" i="9"/>
  <c r="O5" i="9"/>
  <c r="P5" i="9"/>
  <c r="Q5" i="9"/>
  <c r="R5" i="9"/>
  <c r="O6" i="9"/>
  <c r="P6" i="9"/>
  <c r="Q6" i="9"/>
  <c r="R6" i="9"/>
  <c r="O7" i="9"/>
  <c r="P7" i="9"/>
  <c r="Q7" i="9"/>
  <c r="R7" i="9"/>
  <c r="O8" i="9"/>
  <c r="P8" i="9"/>
  <c r="Q8" i="9"/>
  <c r="R8" i="9"/>
  <c r="O9" i="9"/>
  <c r="P9" i="9"/>
  <c r="Q9" i="9"/>
  <c r="R9" i="9"/>
  <c r="O10" i="9"/>
  <c r="P10" i="9"/>
  <c r="Q10" i="9"/>
  <c r="R10" i="9"/>
  <c r="O11" i="9"/>
  <c r="P11" i="9"/>
  <c r="Q11" i="9"/>
  <c r="R11" i="9"/>
  <c r="O12" i="9"/>
  <c r="P12" i="9"/>
  <c r="Q12" i="9"/>
  <c r="R12" i="9"/>
  <c r="O13" i="9"/>
  <c r="P13" i="9"/>
  <c r="Q13" i="9"/>
  <c r="R13" i="9"/>
  <c r="O14" i="9"/>
  <c r="P14" i="9"/>
  <c r="Q14" i="9"/>
  <c r="R14" i="9"/>
  <c r="O15" i="9"/>
  <c r="P15" i="9"/>
  <c r="Q15" i="9"/>
  <c r="R15" i="9"/>
  <c r="O16" i="9"/>
  <c r="P16" i="9"/>
  <c r="Q16" i="9"/>
  <c r="R16" i="9"/>
  <c r="O17" i="9"/>
  <c r="P17" i="9"/>
  <c r="Q17" i="9"/>
  <c r="R17" i="9"/>
  <c r="O18" i="9"/>
  <c r="P18" i="9"/>
  <c r="Q18" i="9"/>
  <c r="R18" i="9"/>
  <c r="O19" i="9"/>
  <c r="P19" i="9"/>
  <c r="Q19" i="9"/>
  <c r="R19" i="9"/>
  <c r="O20" i="9"/>
  <c r="P20" i="9"/>
  <c r="Q20" i="9"/>
  <c r="R20" i="9"/>
  <c r="O21" i="9"/>
  <c r="P21" i="9"/>
  <c r="Q21" i="9"/>
  <c r="R21" i="9"/>
  <c r="N6" i="9"/>
  <c r="N7" i="9"/>
  <c r="N8" i="9"/>
  <c r="N9" i="9"/>
  <c r="N10" i="9"/>
  <c r="N11" i="9"/>
  <c r="N12" i="9"/>
  <c r="N13" i="9"/>
  <c r="N14" i="9"/>
  <c r="N15" i="9"/>
  <c r="N16" i="9"/>
  <c r="N17" i="9"/>
  <c r="N18" i="9"/>
  <c r="N19" i="9"/>
  <c r="N20" i="9"/>
  <c r="N21" i="9"/>
  <c r="N5" i="9"/>
  <c r="C26" i="5"/>
  <c r="J5" i="9"/>
  <c r="K5" i="9"/>
  <c r="L5" i="9"/>
  <c r="M5" i="9"/>
  <c r="J6" i="9"/>
  <c r="K6" i="9"/>
  <c r="L6" i="9"/>
  <c r="M6" i="9"/>
  <c r="J7" i="9"/>
  <c r="K7" i="9"/>
  <c r="L7" i="9"/>
  <c r="M7" i="9"/>
  <c r="J8" i="9"/>
  <c r="K8" i="9"/>
  <c r="L8" i="9"/>
  <c r="M8" i="9"/>
  <c r="J9" i="9"/>
  <c r="K9" i="9"/>
  <c r="L9" i="9"/>
  <c r="M9" i="9"/>
  <c r="J10" i="9"/>
  <c r="K10" i="9"/>
  <c r="L10" i="9"/>
  <c r="M10" i="9"/>
  <c r="J11" i="9"/>
  <c r="K11" i="9"/>
  <c r="L11" i="9"/>
  <c r="M11" i="9"/>
  <c r="J12" i="9"/>
  <c r="K12" i="9"/>
  <c r="L12" i="9"/>
  <c r="M12" i="9"/>
  <c r="J13" i="9"/>
  <c r="K13" i="9"/>
  <c r="L13" i="9"/>
  <c r="M13" i="9"/>
  <c r="J14" i="9"/>
  <c r="K14" i="9"/>
  <c r="L14" i="9"/>
  <c r="M14" i="9"/>
  <c r="J15" i="9"/>
  <c r="K15" i="9"/>
  <c r="L15" i="9"/>
  <c r="M15" i="9"/>
  <c r="J16" i="9"/>
  <c r="K16" i="9"/>
  <c r="L16" i="9"/>
  <c r="M16" i="9"/>
  <c r="J17" i="9"/>
  <c r="K17" i="9"/>
  <c r="L17" i="9"/>
  <c r="M17" i="9"/>
  <c r="J18" i="9"/>
  <c r="K18" i="9"/>
  <c r="L18" i="9"/>
  <c r="M18" i="9"/>
  <c r="J19" i="9"/>
  <c r="K19" i="9"/>
  <c r="L19" i="9"/>
  <c r="M19" i="9"/>
  <c r="J20" i="9"/>
  <c r="K20" i="9"/>
  <c r="L20" i="9"/>
  <c r="M20" i="9"/>
  <c r="J21" i="9"/>
  <c r="K21" i="9"/>
  <c r="L21" i="9"/>
  <c r="M21" i="9"/>
  <c r="I6" i="9"/>
  <c r="I7" i="9"/>
  <c r="I8" i="9"/>
  <c r="I9" i="9"/>
  <c r="I10" i="9"/>
  <c r="I11" i="9"/>
  <c r="I12" i="9"/>
  <c r="I13" i="9"/>
  <c r="I14" i="9"/>
  <c r="I15" i="9"/>
  <c r="I16" i="9"/>
  <c r="I17" i="9"/>
  <c r="I18" i="9"/>
  <c r="I19" i="9"/>
  <c r="I20" i="9"/>
  <c r="I21" i="9"/>
  <c r="I5" i="9"/>
  <c r="I5" i="5"/>
  <c r="J22" i="20" l="1" a="1"/>
  <c r="J22" i="20" s="1"/>
  <c r="K22" i="20" s="1" a="1"/>
  <c r="K22" i="20" s="1"/>
  <c r="J18" i="20" a="1"/>
  <c r="J18" i="20" s="1"/>
  <c r="K18" i="20" s="1" a="1"/>
  <c r="K18" i="20" s="1"/>
  <c r="J14" i="20" a="1"/>
  <c r="J14" i="20" s="1"/>
  <c r="K14" i="20" s="1" a="1"/>
  <c r="K14" i="20" s="1"/>
  <c r="J10" i="20" a="1"/>
  <c r="J10" i="20" s="1"/>
  <c r="K10" i="20" s="1" a="1"/>
  <c r="K10" i="20" s="1"/>
  <c r="J6" i="20" a="1"/>
  <c r="J6" i="20" s="1"/>
  <c r="K6" i="20" s="1" a="1"/>
  <c r="K6" i="20" s="1"/>
  <c r="K3" i="20" a="1"/>
  <c r="K3" i="20" s="1"/>
  <c r="K148" i="13" a="1"/>
  <c r="K148" i="13" s="1"/>
  <c r="J148" i="13"/>
  <c r="K135" i="13" a="1"/>
  <c r="K135" i="13" s="1"/>
  <c r="J135" i="13"/>
  <c r="K123" i="13" a="1"/>
  <c r="K123" i="13" s="1"/>
  <c r="J123" i="13"/>
  <c r="K111" i="13" a="1"/>
  <c r="K111" i="13" s="1"/>
  <c r="J111" i="13"/>
  <c r="K99" i="13" a="1"/>
  <c r="K99" i="13" s="1"/>
  <c r="J99" i="13"/>
  <c r="K95" i="13" a="1"/>
  <c r="K95" i="13" s="1"/>
  <c r="J95" i="13"/>
  <c r="K91" i="13" a="1"/>
  <c r="K91" i="13" s="1"/>
  <c r="J91" i="13"/>
  <c r="K79" i="13" a="1"/>
  <c r="K79" i="13" s="1"/>
  <c r="J79" i="13"/>
  <c r="K75" i="13" a="1"/>
  <c r="K75" i="13" s="1"/>
  <c r="J75" i="13"/>
  <c r="K71" i="13" a="1"/>
  <c r="K71" i="13" s="1"/>
  <c r="J71" i="13"/>
  <c r="K67" i="13" a="1"/>
  <c r="K67" i="13" s="1"/>
  <c r="J67" i="13"/>
  <c r="K63" i="13" a="1"/>
  <c r="K63" i="13" s="1"/>
  <c r="J63" i="13"/>
  <c r="K59" i="13" a="1"/>
  <c r="K59" i="13" s="1"/>
  <c r="J59" i="13"/>
  <c r="K55" i="13" a="1"/>
  <c r="K55" i="13" s="1"/>
  <c r="J55" i="13"/>
  <c r="K51" i="13" a="1"/>
  <c r="K51" i="13" s="1"/>
  <c r="J51" i="13"/>
  <c r="K47" i="13" a="1"/>
  <c r="K47" i="13" s="1"/>
  <c r="J47" i="13"/>
  <c r="K43" i="13" a="1"/>
  <c r="K43" i="13" s="1"/>
  <c r="J43" i="13"/>
  <c r="K151" i="13" a="1"/>
  <c r="K151" i="13" s="1"/>
  <c r="J151" i="13"/>
  <c r="K147" i="13" a="1"/>
  <c r="K147" i="13" s="1"/>
  <c r="J147" i="13"/>
  <c r="K143" i="13" a="1"/>
  <c r="K143" i="13" s="1"/>
  <c r="J143" i="13"/>
  <c r="J138" i="13"/>
  <c r="K138" i="13" a="1"/>
  <c r="K138" i="13" s="1"/>
  <c r="J134" i="13"/>
  <c r="K134" i="13" a="1"/>
  <c r="K134" i="13" s="1"/>
  <c r="J130" i="13"/>
  <c r="K130" i="13" a="1"/>
  <c r="K130" i="13" s="1"/>
  <c r="J126" i="13"/>
  <c r="K126" i="13" a="1"/>
  <c r="K126" i="13" s="1"/>
  <c r="J122" i="13"/>
  <c r="K122" i="13" a="1"/>
  <c r="K122" i="13" s="1"/>
  <c r="J118" i="13"/>
  <c r="K118" i="13" a="1"/>
  <c r="K118" i="13" s="1"/>
  <c r="J114" i="13"/>
  <c r="K114" i="13" a="1"/>
  <c r="K114" i="13" s="1"/>
  <c r="J110" i="13"/>
  <c r="K110" i="13" a="1"/>
  <c r="K110" i="13" s="1"/>
  <c r="J106" i="13"/>
  <c r="K106" i="13" a="1"/>
  <c r="K106" i="13" s="1"/>
  <c r="J102" i="13"/>
  <c r="K102" i="13" a="1"/>
  <c r="K102" i="13" s="1"/>
  <c r="J98" i="13"/>
  <c r="K98" i="13" a="1"/>
  <c r="K98" i="13" s="1"/>
  <c r="J94" i="13"/>
  <c r="K94" i="13" a="1"/>
  <c r="K94" i="13" s="1"/>
  <c r="J90" i="13"/>
  <c r="K90" i="13" a="1"/>
  <c r="K90" i="13" s="1"/>
  <c r="J86" i="13"/>
  <c r="K86" i="13" a="1"/>
  <c r="K86" i="13" s="1"/>
  <c r="J82" i="13"/>
  <c r="K82" i="13" a="1"/>
  <c r="K82" i="13" s="1"/>
  <c r="J78" i="13"/>
  <c r="K78" i="13" a="1"/>
  <c r="K78" i="13" s="1"/>
  <c r="J74" i="13"/>
  <c r="K74" i="13" a="1"/>
  <c r="K74" i="13" s="1"/>
  <c r="J70" i="13"/>
  <c r="K70" i="13" a="1"/>
  <c r="K70" i="13" s="1"/>
  <c r="J66" i="13"/>
  <c r="K66" i="13" a="1"/>
  <c r="K66" i="13" s="1"/>
  <c r="J62" i="13"/>
  <c r="K62" i="13" a="1"/>
  <c r="K62" i="13" s="1"/>
  <c r="J58" i="13"/>
  <c r="K58" i="13" a="1"/>
  <c r="K58" i="13" s="1"/>
  <c r="J54" i="13"/>
  <c r="K54" i="13" a="1"/>
  <c r="K54" i="13" s="1"/>
  <c r="J50" i="13"/>
  <c r="K50" i="13" a="1"/>
  <c r="K50" i="13" s="1"/>
  <c r="J46" i="13"/>
  <c r="K46" i="13" a="1"/>
  <c r="K46" i="13" s="1"/>
  <c r="J141" i="13"/>
  <c r="K141" i="13" a="1"/>
  <c r="K141" i="13" s="1"/>
  <c r="K152" i="13" a="1"/>
  <c r="K152" i="13" s="1"/>
  <c r="J152" i="13"/>
  <c r="K139" i="13" a="1"/>
  <c r="K139" i="13" s="1"/>
  <c r="J139" i="13"/>
  <c r="K127" i="13" a="1"/>
  <c r="K127" i="13" s="1"/>
  <c r="J127" i="13"/>
  <c r="K115" i="13" a="1"/>
  <c r="K115" i="13" s="1"/>
  <c r="J115" i="13"/>
  <c r="K103" i="13" a="1"/>
  <c r="K103" i="13" s="1"/>
  <c r="J103" i="13"/>
  <c r="K87" i="13" a="1"/>
  <c r="K87" i="13" s="1"/>
  <c r="J87" i="13"/>
  <c r="J150" i="13"/>
  <c r="K150" i="13" a="1"/>
  <c r="K150" i="13" s="1"/>
  <c r="J146" i="13"/>
  <c r="K146" i="13" a="1"/>
  <c r="K146" i="13" s="1"/>
  <c r="J142" i="13"/>
  <c r="K142" i="13" a="1"/>
  <c r="K142" i="13" s="1"/>
  <c r="J137" i="13"/>
  <c r="K137" i="13" a="1"/>
  <c r="K137" i="13" s="1"/>
  <c r="J133" i="13"/>
  <c r="K133" i="13" a="1"/>
  <c r="K133" i="13" s="1"/>
  <c r="J129" i="13"/>
  <c r="K129" i="13" a="1"/>
  <c r="K129" i="13" s="1"/>
  <c r="J125" i="13"/>
  <c r="K125" i="13" a="1"/>
  <c r="K125" i="13" s="1"/>
  <c r="J121" i="13"/>
  <c r="K121" i="13" a="1"/>
  <c r="K121" i="13" s="1"/>
  <c r="J117" i="13"/>
  <c r="K117" i="13" a="1"/>
  <c r="K117" i="13" s="1"/>
  <c r="J113" i="13"/>
  <c r="K113" i="13" a="1"/>
  <c r="K113" i="13" s="1"/>
  <c r="J109" i="13"/>
  <c r="K109" i="13" a="1"/>
  <c r="K109" i="13" s="1"/>
  <c r="J105" i="13"/>
  <c r="K105" i="13" a="1"/>
  <c r="K105" i="13" s="1"/>
  <c r="J101" i="13"/>
  <c r="K101" i="13" a="1"/>
  <c r="K101" i="13" s="1"/>
  <c r="J97" i="13"/>
  <c r="K97" i="13" a="1"/>
  <c r="K97" i="13" s="1"/>
  <c r="J93" i="13"/>
  <c r="K93" i="13" a="1"/>
  <c r="K93" i="13" s="1"/>
  <c r="J89" i="13"/>
  <c r="K89" i="13" a="1"/>
  <c r="K89" i="13" s="1"/>
  <c r="J85" i="13"/>
  <c r="K85" i="13" a="1"/>
  <c r="K85" i="13" s="1"/>
  <c r="J81" i="13"/>
  <c r="K81" i="13" a="1"/>
  <c r="K81" i="13" s="1"/>
  <c r="J77" i="13"/>
  <c r="K77" i="13" a="1"/>
  <c r="K77" i="13" s="1"/>
  <c r="J73" i="13"/>
  <c r="K73" i="13" a="1"/>
  <c r="K73" i="13" s="1"/>
  <c r="J69" i="13"/>
  <c r="K69" i="13" a="1"/>
  <c r="K69" i="13" s="1"/>
  <c r="J65" i="13"/>
  <c r="K65" i="13" a="1"/>
  <c r="K65" i="13" s="1"/>
  <c r="J61" i="13"/>
  <c r="K61" i="13" a="1"/>
  <c r="K61" i="13" s="1"/>
  <c r="J57" i="13"/>
  <c r="K57" i="13" a="1"/>
  <c r="K57" i="13" s="1"/>
  <c r="J53" i="13"/>
  <c r="K53" i="13" a="1"/>
  <c r="K53" i="13" s="1"/>
  <c r="J49" i="13"/>
  <c r="K49" i="13" a="1"/>
  <c r="K49" i="13" s="1"/>
  <c r="J45" i="13"/>
  <c r="K45" i="13" a="1"/>
  <c r="K45" i="13" s="1"/>
  <c r="J41" i="13"/>
  <c r="K41" i="13" a="1"/>
  <c r="K41" i="13" s="1"/>
  <c r="J37" i="13"/>
  <c r="K37" i="13" a="1"/>
  <c r="K37" i="13" s="1"/>
  <c r="J33" i="13"/>
  <c r="K33" i="13" a="1"/>
  <c r="K33" i="13" s="1"/>
  <c r="J29" i="13"/>
  <c r="K29" i="13" a="1"/>
  <c r="K29" i="13" s="1"/>
  <c r="J25" i="13"/>
  <c r="K25" i="13" a="1"/>
  <c r="K25" i="13" s="1"/>
  <c r="J21" i="13"/>
  <c r="K21" i="13" a="1"/>
  <c r="K21" i="13" s="1"/>
  <c r="K144" i="13" a="1"/>
  <c r="K144" i="13" s="1"/>
  <c r="J144" i="13"/>
  <c r="K131" i="13" a="1"/>
  <c r="K131" i="13" s="1"/>
  <c r="J131" i="13"/>
  <c r="K119" i="13" a="1"/>
  <c r="K119" i="13" s="1"/>
  <c r="J119" i="13"/>
  <c r="K107" i="13" a="1"/>
  <c r="K107" i="13" s="1"/>
  <c r="J107" i="13"/>
  <c r="K83" i="13" a="1"/>
  <c r="K83" i="13" s="1"/>
  <c r="J83" i="13"/>
  <c r="J149" i="13"/>
  <c r="K149" i="13" a="1"/>
  <c r="K149" i="13" s="1"/>
  <c r="J145" i="13"/>
  <c r="K145" i="13" a="1"/>
  <c r="K145" i="13" s="1"/>
  <c r="K140" i="13" a="1"/>
  <c r="K140" i="13" s="1"/>
  <c r="J140" i="13"/>
  <c r="K136" i="13" a="1"/>
  <c r="K136" i="13" s="1"/>
  <c r="J136" i="13"/>
  <c r="K132" i="13" a="1"/>
  <c r="K132" i="13" s="1"/>
  <c r="J132" i="13"/>
  <c r="K128" i="13" a="1"/>
  <c r="K128" i="13" s="1"/>
  <c r="J128" i="13"/>
  <c r="K124" i="13" a="1"/>
  <c r="K124" i="13" s="1"/>
  <c r="J124" i="13"/>
  <c r="K120" i="13" a="1"/>
  <c r="K120" i="13" s="1"/>
  <c r="J120" i="13"/>
  <c r="K116" i="13" a="1"/>
  <c r="K116" i="13" s="1"/>
  <c r="J116" i="13"/>
  <c r="K112" i="13" a="1"/>
  <c r="K112" i="13" s="1"/>
  <c r="J112" i="13"/>
  <c r="K108" i="13" a="1"/>
  <c r="K108" i="13" s="1"/>
  <c r="J108" i="13"/>
  <c r="K104" i="13" a="1"/>
  <c r="K104" i="13" s="1"/>
  <c r="J104" i="13"/>
  <c r="K100" i="13" a="1"/>
  <c r="K100" i="13" s="1"/>
  <c r="J100" i="13"/>
  <c r="K96" i="13" a="1"/>
  <c r="K96" i="13" s="1"/>
  <c r="J96" i="13"/>
  <c r="K92" i="13" a="1"/>
  <c r="K92" i="13" s="1"/>
  <c r="J92" i="13"/>
  <c r="K88" i="13" a="1"/>
  <c r="K88" i="13" s="1"/>
  <c r="J88" i="13"/>
  <c r="K84" i="13" a="1"/>
  <c r="K84" i="13" s="1"/>
  <c r="J84" i="13"/>
  <c r="K80" i="13" a="1"/>
  <c r="K80" i="13" s="1"/>
  <c r="J80" i="13"/>
  <c r="K76" i="13" a="1"/>
  <c r="K76" i="13" s="1"/>
  <c r="J76" i="13"/>
  <c r="K72" i="13" a="1"/>
  <c r="K72" i="13" s="1"/>
  <c r="J72" i="13"/>
  <c r="K68" i="13" a="1"/>
  <c r="K68" i="13" s="1"/>
  <c r="J68" i="13"/>
  <c r="K64" i="13" a="1"/>
  <c r="K64" i="13" s="1"/>
  <c r="J64" i="13"/>
  <c r="K60" i="13" a="1"/>
  <c r="K60" i="13" s="1"/>
  <c r="J60" i="13"/>
  <c r="K56" i="13" a="1"/>
  <c r="K56" i="13" s="1"/>
  <c r="J56" i="13"/>
  <c r="K52" i="13" a="1"/>
  <c r="K52" i="13" s="1"/>
  <c r="J52" i="13"/>
  <c r="K48" i="13" a="1"/>
  <c r="K48" i="13" s="1"/>
  <c r="J48" i="13"/>
  <c r="K44" i="13" a="1"/>
  <c r="K44" i="13" s="1"/>
  <c r="J44" i="13"/>
  <c r="K40" i="13" a="1"/>
  <c r="K40" i="13" s="1"/>
  <c r="J40" i="13"/>
  <c r="K36" i="13" a="1"/>
  <c r="K36" i="13" s="1"/>
  <c r="J36" i="13"/>
  <c r="K32" i="13" a="1"/>
  <c r="K32" i="13" s="1"/>
  <c r="J32" i="13"/>
  <c r="K28" i="13" a="1"/>
  <c r="K28" i="13" s="1"/>
  <c r="J28" i="13"/>
  <c r="K24" i="13" a="1"/>
  <c r="K24" i="13" s="1"/>
  <c r="J24" i="13"/>
  <c r="K20" i="13" a="1"/>
  <c r="K20" i="13" s="1"/>
  <c r="J20" i="13"/>
  <c r="K12" i="13" a="1"/>
  <c r="K12" i="13" s="1"/>
  <c r="J12" i="13"/>
  <c r="J17" i="13"/>
  <c r="K17" i="13" a="1"/>
  <c r="K17" i="13" s="1"/>
  <c r="J13" i="13"/>
  <c r="K13" i="13" a="1"/>
  <c r="K13" i="13" s="1"/>
  <c r="J9" i="13"/>
  <c r="K9" i="13" a="1"/>
  <c r="K9" i="13" s="1"/>
  <c r="J5" i="13"/>
  <c r="K5" i="13" a="1"/>
  <c r="K5" i="13" s="1"/>
  <c r="K4" i="13" a="1"/>
  <c r="K4" i="13" s="1"/>
  <c r="J4" i="13"/>
  <c r="K16" i="13" a="1"/>
  <c r="K16" i="13" s="1"/>
  <c r="J16" i="13"/>
  <c r="K8" i="13" a="1"/>
  <c r="K8" i="13" s="1"/>
  <c r="J8" i="13"/>
  <c r="K39" i="13" a="1"/>
  <c r="K39" i="13" s="1"/>
  <c r="J39" i="13"/>
  <c r="K35" i="13" a="1"/>
  <c r="K35" i="13" s="1"/>
  <c r="J35" i="13"/>
  <c r="K31" i="13" a="1"/>
  <c r="K31" i="13" s="1"/>
  <c r="J31" i="13"/>
  <c r="K27" i="13" a="1"/>
  <c r="K27" i="13" s="1"/>
  <c r="J27" i="13"/>
  <c r="K23" i="13" a="1"/>
  <c r="K23" i="13" s="1"/>
  <c r="J23" i="13"/>
  <c r="K19" i="13" a="1"/>
  <c r="K19" i="13" s="1"/>
  <c r="J19" i="13"/>
  <c r="K15" i="13" a="1"/>
  <c r="K15" i="13" s="1"/>
  <c r="J15" i="13"/>
  <c r="K11" i="13" a="1"/>
  <c r="K11" i="13" s="1"/>
  <c r="J11" i="13"/>
  <c r="K7" i="13" a="1"/>
  <c r="K7" i="13" s="1"/>
  <c r="J7" i="13"/>
  <c r="K3" i="13" a="1"/>
  <c r="K3" i="13" s="1"/>
  <c r="J3" i="13"/>
  <c r="J42" i="13"/>
  <c r="K42" i="13" a="1"/>
  <c r="K42" i="13" s="1"/>
  <c r="J38" i="13"/>
  <c r="K38" i="13" a="1"/>
  <c r="K38" i="13" s="1"/>
  <c r="J34" i="13"/>
  <c r="K34" i="13" a="1"/>
  <c r="K34" i="13" s="1"/>
  <c r="J30" i="13"/>
  <c r="K30" i="13" a="1"/>
  <c r="K30" i="13" s="1"/>
  <c r="J26" i="13"/>
  <c r="K26" i="13" a="1"/>
  <c r="K26" i="13" s="1"/>
  <c r="J22" i="13"/>
  <c r="K22" i="13" a="1"/>
  <c r="K22" i="13" s="1"/>
  <c r="J18" i="13"/>
  <c r="K18" i="13" a="1"/>
  <c r="K18" i="13" s="1"/>
  <c r="J14" i="13"/>
  <c r="K14" i="13" a="1"/>
  <c r="K14" i="13" s="1"/>
  <c r="J10" i="13"/>
  <c r="K10" i="13" a="1"/>
  <c r="K10" i="13" s="1"/>
  <c r="J6" i="13"/>
  <c r="K6" i="13" a="1"/>
  <c r="K6" i="13" s="1"/>
  <c r="B10" i="11"/>
  <c r="B6" i="11"/>
  <c r="B9" i="11"/>
  <c r="B8" i="11"/>
  <c r="B11" i="11"/>
  <c r="B7" i="11"/>
  <c r="H4" i="8"/>
  <c r="I4" i="8"/>
  <c r="J4" i="8"/>
  <c r="K4" i="8"/>
  <c r="I5" i="8"/>
  <c r="J5" i="8"/>
  <c r="K5" i="8"/>
  <c r="I6" i="8"/>
  <c r="J6" i="8"/>
  <c r="K6" i="8"/>
  <c r="I7" i="8"/>
  <c r="J7" i="8"/>
  <c r="K7" i="8"/>
  <c r="I8" i="8"/>
  <c r="J8" i="8"/>
  <c r="K8" i="8"/>
  <c r="I9" i="8"/>
  <c r="J9" i="8"/>
  <c r="K9" i="8"/>
  <c r="I10" i="8"/>
  <c r="J10" i="8"/>
  <c r="K10" i="8"/>
  <c r="I11" i="8"/>
  <c r="J11" i="8"/>
  <c r="K11" i="8"/>
  <c r="I12" i="8"/>
  <c r="J12" i="8"/>
  <c r="K12" i="8"/>
  <c r="I13" i="8"/>
  <c r="J13" i="8"/>
  <c r="K13" i="8"/>
  <c r="I14" i="8"/>
  <c r="J14" i="8"/>
  <c r="K14" i="8"/>
  <c r="I15" i="8"/>
  <c r="J15" i="8"/>
  <c r="K15" i="8"/>
  <c r="I16" i="8"/>
  <c r="J16" i="8"/>
  <c r="K16" i="8"/>
  <c r="I17" i="8"/>
  <c r="J17" i="8"/>
  <c r="K17" i="8"/>
  <c r="I18" i="8"/>
  <c r="J18" i="8"/>
  <c r="K18" i="8"/>
  <c r="I19" i="8"/>
  <c r="J19" i="8"/>
  <c r="K19" i="8"/>
  <c r="H5" i="8"/>
  <c r="H6" i="8"/>
  <c r="H7" i="8"/>
  <c r="H8" i="8"/>
  <c r="H9" i="8"/>
  <c r="H10" i="8"/>
  <c r="H11" i="8"/>
  <c r="H12" i="8"/>
  <c r="H13" i="8"/>
  <c r="H14" i="8"/>
  <c r="H15" i="8"/>
  <c r="H16" i="8"/>
  <c r="H17" i="8"/>
  <c r="H18" i="8"/>
  <c r="H19" i="8"/>
  <c r="AD6" i="5"/>
  <c r="AD7" i="5"/>
  <c r="AD8" i="5"/>
  <c r="AD9" i="5"/>
  <c r="AD10" i="5"/>
  <c r="AD11" i="5"/>
  <c r="AD12" i="5"/>
  <c r="AD13" i="5"/>
  <c r="AD14" i="5"/>
  <c r="AD15" i="5"/>
  <c r="AD16" i="5"/>
  <c r="AD17" i="5"/>
  <c r="AD18" i="5"/>
  <c r="AD19" i="5"/>
  <c r="AD20" i="5"/>
  <c r="AD21" i="5"/>
  <c r="H26" i="5"/>
  <c r="I26" i="5"/>
  <c r="J26" i="5"/>
  <c r="K26" i="5"/>
  <c r="L26" i="5"/>
  <c r="M26" i="5"/>
  <c r="N26" i="5"/>
  <c r="O26" i="5"/>
  <c r="P26" i="5"/>
  <c r="Q26" i="5"/>
  <c r="R26" i="5"/>
  <c r="S26" i="5"/>
  <c r="T26" i="5"/>
  <c r="U26" i="5"/>
  <c r="V26" i="5"/>
  <c r="W26" i="5"/>
  <c r="Y26" i="5"/>
  <c r="Z26" i="5"/>
  <c r="AA26" i="5"/>
  <c r="AB26" i="5"/>
  <c r="E26" i="5"/>
  <c r="F26" i="5"/>
  <c r="G26" i="5"/>
  <c r="D26" i="5"/>
  <c r="N23" i="5"/>
  <c r="O23" i="5"/>
  <c r="P23" i="5"/>
  <c r="Q23" i="5"/>
  <c r="R23" i="5"/>
  <c r="S23" i="5"/>
  <c r="T23" i="5"/>
  <c r="U23" i="5"/>
  <c r="V23" i="5"/>
  <c r="W23" i="5"/>
  <c r="Y23" i="5"/>
  <c r="Z23" i="5"/>
  <c r="AA23" i="5"/>
  <c r="AB23" i="5"/>
  <c r="N24" i="5"/>
  <c r="O24" i="5"/>
  <c r="P24" i="5"/>
  <c r="Q24" i="5"/>
  <c r="R24" i="5"/>
  <c r="S24" i="5"/>
  <c r="T24" i="5"/>
  <c r="U24" i="5"/>
  <c r="V24" i="5"/>
  <c r="W24" i="5"/>
  <c r="X24" i="5"/>
  <c r="Y24" i="5"/>
  <c r="Z24" i="5"/>
  <c r="AA24" i="5"/>
  <c r="AB24" i="5"/>
  <c r="N25" i="5"/>
  <c r="O25" i="5"/>
  <c r="P25" i="5"/>
  <c r="Q25" i="5"/>
  <c r="R25" i="5"/>
  <c r="S25" i="5"/>
  <c r="T25" i="5"/>
  <c r="U25" i="5"/>
  <c r="V25" i="5"/>
  <c r="W25" i="5"/>
  <c r="Y25" i="5"/>
  <c r="Z25" i="5"/>
  <c r="AA25" i="5"/>
  <c r="AB25" i="5"/>
  <c r="D4" i="7"/>
  <c r="D9" i="7" s="1"/>
  <c r="D5" i="7"/>
  <c r="D6" i="7"/>
  <c r="D7" i="7"/>
  <c r="D8" i="7"/>
  <c r="Y6" i="5"/>
  <c r="Z6" i="5"/>
  <c r="AA6" i="5"/>
  <c r="AB6" i="5"/>
  <c r="Y7" i="5"/>
  <c r="Z7" i="5"/>
  <c r="AA7" i="5"/>
  <c r="AB7" i="5"/>
  <c r="Y8" i="5"/>
  <c r="Z8" i="5"/>
  <c r="AA8" i="5"/>
  <c r="AB8" i="5"/>
  <c r="Y9" i="5"/>
  <c r="Z9" i="5"/>
  <c r="AA9" i="5"/>
  <c r="AB9" i="5"/>
  <c r="Y10" i="5"/>
  <c r="Z10" i="5"/>
  <c r="AA10" i="5"/>
  <c r="AB10" i="5"/>
  <c r="Y11" i="5"/>
  <c r="Z11" i="5"/>
  <c r="AA11" i="5"/>
  <c r="AB11" i="5"/>
  <c r="Y12" i="5"/>
  <c r="Z12" i="5"/>
  <c r="AA12" i="5"/>
  <c r="AB12" i="5"/>
  <c r="Y13" i="5"/>
  <c r="Z13" i="5"/>
  <c r="AA13" i="5"/>
  <c r="AB13" i="5"/>
  <c r="Y14" i="5"/>
  <c r="Z14" i="5"/>
  <c r="AA14" i="5"/>
  <c r="AB14" i="5"/>
  <c r="Y15" i="5"/>
  <c r="Z15" i="5"/>
  <c r="AA15" i="5"/>
  <c r="AB15" i="5"/>
  <c r="Y16" i="5"/>
  <c r="Z16" i="5"/>
  <c r="AA16" i="5"/>
  <c r="AB16" i="5"/>
  <c r="Y17" i="5"/>
  <c r="Z17" i="5"/>
  <c r="AA17" i="5"/>
  <c r="AB17" i="5"/>
  <c r="Y18" i="5"/>
  <c r="Z18" i="5"/>
  <c r="AA18" i="5"/>
  <c r="AB18" i="5"/>
  <c r="Y19" i="5"/>
  <c r="Z19" i="5"/>
  <c r="AA19" i="5"/>
  <c r="AB19" i="5"/>
  <c r="Y20" i="5"/>
  <c r="Z20" i="5"/>
  <c r="AA20" i="5"/>
  <c r="AB20" i="5"/>
  <c r="Y21" i="5"/>
  <c r="Z21" i="5"/>
  <c r="AA21" i="5"/>
  <c r="AB21" i="5"/>
  <c r="AA5" i="5"/>
  <c r="AB5" i="5"/>
  <c r="Z5" i="5"/>
  <c r="Y5" i="5"/>
  <c r="X6" i="5"/>
  <c r="X7" i="5"/>
  <c r="X8" i="5"/>
  <c r="X9" i="5"/>
  <c r="X10" i="5"/>
  <c r="X11" i="5"/>
  <c r="X12" i="5"/>
  <c r="X13" i="5"/>
  <c r="X14" i="5"/>
  <c r="X15" i="5"/>
  <c r="X16" i="5"/>
  <c r="X17" i="5"/>
  <c r="X18" i="5"/>
  <c r="X19" i="5"/>
  <c r="X20" i="5"/>
  <c r="X21" i="5"/>
  <c r="AD5" i="5"/>
  <c r="U6" i="5"/>
  <c r="V6" i="5"/>
  <c r="W6" i="5"/>
  <c r="U7" i="5"/>
  <c r="V7" i="5"/>
  <c r="W7" i="5"/>
  <c r="U8" i="5"/>
  <c r="V8" i="5"/>
  <c r="W8" i="5"/>
  <c r="U9" i="5"/>
  <c r="V9" i="5"/>
  <c r="W9" i="5"/>
  <c r="U10" i="5"/>
  <c r="V10" i="5"/>
  <c r="W10" i="5"/>
  <c r="U11" i="5"/>
  <c r="V11" i="5"/>
  <c r="W11" i="5"/>
  <c r="U12" i="5"/>
  <c r="V12" i="5"/>
  <c r="W12" i="5"/>
  <c r="U13" i="5"/>
  <c r="V13" i="5"/>
  <c r="W13" i="5"/>
  <c r="U14" i="5"/>
  <c r="V14" i="5"/>
  <c r="W14" i="5"/>
  <c r="U15" i="5"/>
  <c r="V15" i="5"/>
  <c r="W15" i="5"/>
  <c r="U16" i="5"/>
  <c r="V16" i="5"/>
  <c r="W16" i="5"/>
  <c r="U17" i="5"/>
  <c r="V17" i="5"/>
  <c r="W17" i="5"/>
  <c r="U18" i="5"/>
  <c r="V18" i="5"/>
  <c r="W18" i="5"/>
  <c r="U19" i="5"/>
  <c r="V19" i="5"/>
  <c r="W19" i="5"/>
  <c r="U20" i="5"/>
  <c r="V20" i="5"/>
  <c r="W20" i="5"/>
  <c r="U21" i="5"/>
  <c r="V21" i="5"/>
  <c r="W21" i="5"/>
  <c r="V5" i="5"/>
  <c r="W5" i="5"/>
  <c r="T5" i="5"/>
  <c r="T6" i="5"/>
  <c r="T7" i="5"/>
  <c r="T8" i="5"/>
  <c r="T9" i="5"/>
  <c r="T10" i="5"/>
  <c r="T11" i="5"/>
  <c r="T12" i="5"/>
  <c r="T13" i="5"/>
  <c r="T14" i="5"/>
  <c r="T15" i="5"/>
  <c r="T16" i="5"/>
  <c r="T17" i="5"/>
  <c r="T18" i="5"/>
  <c r="T19" i="5"/>
  <c r="T20" i="5"/>
  <c r="T21" i="5"/>
  <c r="S6" i="5"/>
  <c r="S7" i="5"/>
  <c r="S8" i="5"/>
  <c r="S9" i="5"/>
  <c r="S10" i="5"/>
  <c r="S11" i="5"/>
  <c r="S12" i="5"/>
  <c r="S13" i="5"/>
  <c r="S14" i="5"/>
  <c r="S15" i="5"/>
  <c r="S16" i="5"/>
  <c r="S17" i="5"/>
  <c r="S18" i="5"/>
  <c r="S19" i="5"/>
  <c r="S20" i="5"/>
  <c r="S21" i="5"/>
  <c r="R6" i="5" a="1"/>
  <c r="R6" i="5" s="1"/>
  <c r="R7" i="5" a="1"/>
  <c r="R7" i="5"/>
  <c r="R8" i="5" a="1"/>
  <c r="R8" i="5" s="1"/>
  <c r="R9" i="5" a="1"/>
  <c r="R9" i="5"/>
  <c r="R10" i="5" a="1"/>
  <c r="R10" i="5" s="1"/>
  <c r="R11" i="5" a="1"/>
  <c r="R11" i="5"/>
  <c r="R12" i="5" a="1"/>
  <c r="R12" i="5" s="1"/>
  <c r="R13" i="5" a="1"/>
  <c r="R13" i="5"/>
  <c r="R14" i="5" a="1"/>
  <c r="R14" i="5" s="1"/>
  <c r="R15" i="5" a="1"/>
  <c r="R15" i="5"/>
  <c r="R16" i="5" a="1"/>
  <c r="R16" i="5" s="1"/>
  <c r="R17" i="5" a="1"/>
  <c r="R17" i="5"/>
  <c r="R18" i="5" a="1"/>
  <c r="R18" i="5" s="1"/>
  <c r="R19" i="5" a="1"/>
  <c r="R19" i="5"/>
  <c r="R20" i="5" a="1"/>
  <c r="R20" i="5" s="1"/>
  <c r="R21" i="5" a="1"/>
  <c r="R21" i="5"/>
  <c r="R5" i="5" a="1"/>
  <c r="R5" i="5" s="1"/>
  <c r="Q5" i="5" a="1"/>
  <c r="Q5" i="5" s="1"/>
  <c r="Q6" i="5" a="1"/>
  <c r="Q6" i="5"/>
  <c r="Q7" i="5" a="1"/>
  <c r="Q7" i="5" s="1"/>
  <c r="Q8" i="5" a="1"/>
  <c r="Q8" i="5"/>
  <c r="Q9" i="5" a="1"/>
  <c r="Q9" i="5" s="1"/>
  <c r="Q10" i="5" a="1"/>
  <c r="Q10" i="5"/>
  <c r="Q11" i="5" a="1"/>
  <c r="Q11" i="5" s="1"/>
  <c r="Q12" i="5" a="1"/>
  <c r="Q12" i="5"/>
  <c r="Q13" i="5" a="1"/>
  <c r="Q13" i="5" s="1"/>
  <c r="Q14" i="5" a="1"/>
  <c r="Q14" i="5"/>
  <c r="Q15" i="5" a="1"/>
  <c r="Q15" i="5" s="1"/>
  <c r="Q16" i="5" a="1"/>
  <c r="Q16" i="5"/>
  <c r="Q17" i="5" a="1"/>
  <c r="Q17" i="5" s="1"/>
  <c r="Q18" i="5" a="1"/>
  <c r="Q18" i="5"/>
  <c r="Q19" i="5" a="1"/>
  <c r="Q19" i="5" s="1"/>
  <c r="Q20" i="5" a="1"/>
  <c r="Q20" i="5"/>
  <c r="Q21" i="5" a="1"/>
  <c r="Q21" i="5" s="1"/>
  <c r="P6" i="5" a="1"/>
  <c r="P6" i="5" s="1"/>
  <c r="P7" i="5" a="1"/>
  <c r="P7" i="5"/>
  <c r="P8" i="5" a="1"/>
  <c r="P8" i="5" s="1"/>
  <c r="P9" i="5" a="1"/>
  <c r="P9" i="5"/>
  <c r="P10" i="5" a="1"/>
  <c r="P10" i="5" s="1"/>
  <c r="P11" i="5" a="1"/>
  <c r="P11" i="5"/>
  <c r="P12" i="5" a="1"/>
  <c r="P12" i="5" s="1"/>
  <c r="P13" i="5" a="1"/>
  <c r="P13" i="5"/>
  <c r="P14" i="5" a="1"/>
  <c r="P14" i="5" s="1"/>
  <c r="P15" i="5" a="1"/>
  <c r="P15" i="5"/>
  <c r="P16" i="5" a="1"/>
  <c r="P16" i="5" s="1"/>
  <c r="P17" i="5" a="1"/>
  <c r="P17" i="5"/>
  <c r="P18" i="5" a="1"/>
  <c r="P18" i="5" s="1"/>
  <c r="P19" i="5" a="1"/>
  <c r="P19" i="5"/>
  <c r="P20" i="5" a="1"/>
  <c r="P20" i="5" s="1"/>
  <c r="P21" i="5" a="1"/>
  <c r="P21" i="5"/>
  <c r="P5" i="5" a="1"/>
  <c r="P5" i="5" s="1"/>
  <c r="O6" i="5" a="1"/>
  <c r="O6" i="5"/>
  <c r="O7" i="5" a="1"/>
  <c r="O7" i="5"/>
  <c r="O8" i="5" a="1"/>
  <c r="O8" i="5"/>
  <c r="O9" i="5" a="1"/>
  <c r="O9" i="5"/>
  <c r="O10" i="5" a="1"/>
  <c r="O10" i="5"/>
  <c r="O11" i="5" a="1"/>
  <c r="O11" i="5"/>
  <c r="O12" i="5" a="1"/>
  <c r="O12" i="5"/>
  <c r="O13" i="5" a="1"/>
  <c r="O13" i="5"/>
  <c r="O14" i="5" a="1"/>
  <c r="O14" i="5"/>
  <c r="O15" i="5" a="1"/>
  <c r="O15" i="5"/>
  <c r="O16" i="5" a="1"/>
  <c r="O16" i="5"/>
  <c r="O17" i="5" a="1"/>
  <c r="O17" i="5"/>
  <c r="O18" i="5" a="1"/>
  <c r="O18" i="5"/>
  <c r="O19" i="5" a="1"/>
  <c r="O19" i="5"/>
  <c r="O20" i="5" a="1"/>
  <c r="O20" i="5"/>
  <c r="O21" i="5" a="1"/>
  <c r="O21" i="5"/>
  <c r="O5" i="5" a="1"/>
  <c r="O5" i="5" s="1"/>
  <c r="N6" i="5" a="1"/>
  <c r="N6" i="5" s="1"/>
  <c r="N7" i="5" a="1"/>
  <c r="N7" i="5"/>
  <c r="N8" i="5" a="1"/>
  <c r="N8" i="5" s="1"/>
  <c r="N9" i="5" a="1"/>
  <c r="N9" i="5"/>
  <c r="N10" i="5" a="1"/>
  <c r="N10" i="5" s="1"/>
  <c r="N11" i="5" a="1"/>
  <c r="N11" i="5"/>
  <c r="N12" i="5" a="1"/>
  <c r="N12" i="5" s="1"/>
  <c r="N13" i="5" a="1"/>
  <c r="N13" i="5"/>
  <c r="N14" i="5" a="1"/>
  <c r="N14" i="5" s="1"/>
  <c r="N15" i="5" a="1"/>
  <c r="N15" i="5"/>
  <c r="N16" i="5" a="1"/>
  <c r="N16" i="5" s="1"/>
  <c r="N17" i="5" a="1"/>
  <c r="N17" i="5"/>
  <c r="N18" i="5" a="1"/>
  <c r="N18" i="5" s="1"/>
  <c r="N19" i="5" a="1"/>
  <c r="N19" i="5"/>
  <c r="N20" i="5" a="1"/>
  <c r="N20" i="5" s="1"/>
  <c r="N21" i="5" a="1"/>
  <c r="N21" i="5"/>
  <c r="N5" i="5" a="1"/>
  <c r="N5" i="5" s="1"/>
  <c r="D25" i="5"/>
  <c r="E25" i="5"/>
  <c r="F25" i="5"/>
  <c r="G25" i="5"/>
  <c r="H25" i="5"/>
  <c r="I25" i="5"/>
  <c r="J25" i="5"/>
  <c r="K25" i="5"/>
  <c r="L25" i="5"/>
  <c r="M25" i="5"/>
  <c r="D24" i="5"/>
  <c r="E24" i="5"/>
  <c r="F24" i="5"/>
  <c r="G24" i="5"/>
  <c r="H24" i="5"/>
  <c r="I24" i="5"/>
  <c r="J24" i="5"/>
  <c r="K24" i="5"/>
  <c r="L24" i="5"/>
  <c r="M24" i="5"/>
  <c r="D23" i="5"/>
  <c r="E23" i="5"/>
  <c r="F23" i="5"/>
  <c r="G23" i="5"/>
  <c r="H23" i="5"/>
  <c r="I23" i="5"/>
  <c r="J23" i="5"/>
  <c r="K23" i="5"/>
  <c r="L23" i="5"/>
  <c r="M23" i="5"/>
  <c r="C25" i="5"/>
  <c r="C24" i="5"/>
  <c r="C23" i="5"/>
  <c r="I6" i="5"/>
  <c r="J6" i="5"/>
  <c r="K6" i="5"/>
  <c r="L6" i="5"/>
  <c r="M6" i="5"/>
  <c r="I7" i="5"/>
  <c r="J7" i="5"/>
  <c r="K7" i="5"/>
  <c r="L7" i="5"/>
  <c r="M7" i="5"/>
  <c r="I8" i="5"/>
  <c r="J8" i="5"/>
  <c r="K8" i="5"/>
  <c r="L8" i="5"/>
  <c r="M8" i="5"/>
  <c r="I9" i="5"/>
  <c r="J9" i="5"/>
  <c r="K9" i="5"/>
  <c r="L9" i="5"/>
  <c r="M9" i="5"/>
  <c r="I10" i="5"/>
  <c r="J10" i="5"/>
  <c r="K10" i="5"/>
  <c r="L10" i="5"/>
  <c r="M10" i="5"/>
  <c r="I11" i="5"/>
  <c r="J11" i="5"/>
  <c r="K11" i="5"/>
  <c r="L11" i="5"/>
  <c r="M11" i="5"/>
  <c r="I12" i="5"/>
  <c r="J12" i="5"/>
  <c r="K12" i="5"/>
  <c r="L12" i="5"/>
  <c r="M12" i="5"/>
  <c r="I13" i="5"/>
  <c r="J13" i="5"/>
  <c r="K13" i="5"/>
  <c r="L13" i="5"/>
  <c r="M13" i="5"/>
  <c r="I14" i="5"/>
  <c r="J14" i="5"/>
  <c r="K14" i="5"/>
  <c r="L14" i="5"/>
  <c r="M14" i="5"/>
  <c r="I15" i="5"/>
  <c r="J15" i="5"/>
  <c r="K15" i="5"/>
  <c r="L15" i="5"/>
  <c r="M15" i="5"/>
  <c r="I16" i="5"/>
  <c r="J16" i="5"/>
  <c r="K16" i="5"/>
  <c r="L16" i="5"/>
  <c r="M16" i="5"/>
  <c r="I17" i="5"/>
  <c r="J17" i="5"/>
  <c r="K17" i="5"/>
  <c r="L17" i="5"/>
  <c r="M17" i="5"/>
  <c r="I18" i="5"/>
  <c r="J18" i="5"/>
  <c r="K18" i="5"/>
  <c r="L18" i="5"/>
  <c r="M18" i="5"/>
  <c r="I19" i="5"/>
  <c r="J19" i="5"/>
  <c r="K19" i="5"/>
  <c r="L19" i="5"/>
  <c r="M19" i="5"/>
  <c r="I20" i="5"/>
  <c r="J20" i="5"/>
  <c r="K20" i="5"/>
  <c r="L20" i="5"/>
  <c r="M20" i="5"/>
  <c r="I21" i="5"/>
  <c r="J21" i="5"/>
  <c r="K21" i="5"/>
  <c r="L21" i="5"/>
  <c r="M21" i="5"/>
  <c r="J5" i="5"/>
  <c r="K5" i="5"/>
  <c r="L5" i="5"/>
  <c r="M5" i="5"/>
  <c r="X25" i="5" l="1"/>
  <c r="X26" i="5"/>
  <c r="X2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2EE103-7DB2-4B53-922D-140BD23786BB}" keepAlive="1" name="Query - Car_Inventory_Dataset" description="Connection to the 'Car_Inventory_Dataset' query in the workbook." type="5" refreshedVersion="7" background="1" saveData="1">
    <dbPr connection="Provider=Microsoft.Mashup.OleDb.1;Data Source=$Workbook$;Location=Car_Inventory_Dataset;Extended Properties=&quot;&quot;" command="SELECT * FROM [Car_Inventory_Dataset]"/>
  </connection>
  <connection id="2" xr16:uid="{7D8AA678-9381-4C7F-9431-C3E55A454C7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806E169-65D7-4559-8A03-5F786EBAE9A9}" name="WorksheetConnection_Car_Inventory_Dataset!$A$1:$N$53" type="102" refreshedVersion="7" minRefreshableVersion="5">
    <extLst>
      <ext xmlns:x15="http://schemas.microsoft.com/office/spreadsheetml/2010/11/main" uri="{DE250136-89BD-433C-8126-D09CA5730AF9}">
        <x15:connection id="Range" autoDelete="1">
          <x15:rangePr sourceName="_xlcn.WorksheetConnection_Car_Inventory_DatasetA1N531"/>
        </x15:connection>
      </ext>
    </extLst>
  </connection>
  <connection id="4" xr16:uid="{6316599F-DE05-46FC-90F5-7E26CFFB24D5}" name="WorksheetConnection_Eniola_Seeding_Africa.xlsx!Table1" type="102" refreshedVersion="7" minRefreshableVersion="5">
    <extLst>
      <ext xmlns:x15="http://schemas.microsoft.com/office/spreadsheetml/2010/11/main" uri="{DE250136-89BD-433C-8126-D09CA5730AF9}">
        <x15:connection id="Table1" autoDelete="1">
          <x15:rangePr sourceName="_xlcn.WorksheetConnection_Eniola_Seeding_Afric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<sst xmlns="http://schemas.openxmlformats.org/spreadsheetml/2006/main" count="1771" uniqueCount="493">
  <si>
    <t>Laptop</t>
  </si>
  <si>
    <t>Phone</t>
  </si>
  <si>
    <t>Printer</t>
  </si>
  <si>
    <t>Tablet</t>
  </si>
  <si>
    <t>Monitor</t>
  </si>
  <si>
    <t>Keyboard</t>
  </si>
  <si>
    <t>Mouse</t>
  </si>
  <si>
    <t>Headphones</t>
  </si>
  <si>
    <t>Smartwatch</t>
  </si>
  <si>
    <t>Camera</t>
  </si>
  <si>
    <t>Speaker</t>
  </si>
  <si>
    <t>Projector</t>
  </si>
  <si>
    <t>Scanner</t>
  </si>
  <si>
    <t>USB Drive</t>
  </si>
  <si>
    <t>External HDD</t>
  </si>
  <si>
    <t>Microphone</t>
  </si>
  <si>
    <t>VR Headset</t>
  </si>
  <si>
    <t>Game Console</t>
  </si>
  <si>
    <t>Router</t>
  </si>
  <si>
    <t>Drone</t>
  </si>
  <si>
    <t>East Africa</t>
  </si>
  <si>
    <t>West Africa</t>
  </si>
  <si>
    <t>South Africa</t>
  </si>
  <si>
    <t>North Africa</t>
  </si>
  <si>
    <t>Products</t>
  </si>
  <si>
    <t>Sales Amounts</t>
  </si>
  <si>
    <t>Regions</t>
  </si>
  <si>
    <t>Dates</t>
  </si>
  <si>
    <t>Employee Names</t>
  </si>
  <si>
    <t>Departments</t>
  </si>
  <si>
    <t>Salaries</t>
  </si>
  <si>
    <t>Performance Scores(%)</t>
  </si>
  <si>
    <t>Date of Joining</t>
  </si>
  <si>
    <t>John Doe</t>
  </si>
  <si>
    <t>Sales</t>
  </si>
  <si>
    <t>Jane Smith</t>
  </si>
  <si>
    <t>Marketing</t>
  </si>
  <si>
    <t>Robert Brown</t>
  </si>
  <si>
    <t>HR</t>
  </si>
  <si>
    <t>Emily White</t>
  </si>
  <si>
    <t>Finance</t>
  </si>
  <si>
    <t>Michael Green</t>
  </si>
  <si>
    <t>IT</t>
  </si>
  <si>
    <t>Sarah Black</t>
  </si>
  <si>
    <t>Daniel Gray</t>
  </si>
  <si>
    <t>Laura Blue</t>
  </si>
  <si>
    <t>James Yellow</t>
  </si>
  <si>
    <t>Anna Purple</t>
  </si>
  <si>
    <t>Tom Orange</t>
  </si>
  <si>
    <t>Linda Pink</t>
  </si>
  <si>
    <t>Chris Cyan</t>
  </si>
  <si>
    <t>Olivia Violet</t>
  </si>
  <si>
    <t>Peter Navy</t>
  </si>
  <si>
    <t>Sophia Teal</t>
  </si>
  <si>
    <t>Henry Coral</t>
  </si>
  <si>
    <t>Isabella Silver</t>
  </si>
  <si>
    <t>Jack Gold</t>
  </si>
  <si>
    <t>Mia Bronze</t>
  </si>
  <si>
    <t>Student Names</t>
  </si>
  <si>
    <t>Subjects</t>
  </si>
  <si>
    <t>Grades</t>
  </si>
  <si>
    <t>Attendance Rate (%)</t>
  </si>
  <si>
    <t>Date of Enrollment</t>
  </si>
  <si>
    <t>Alice Brown</t>
  </si>
  <si>
    <t>Math</t>
  </si>
  <si>
    <t>A</t>
  </si>
  <si>
    <t>Ben White</t>
  </si>
  <si>
    <t>English</t>
  </si>
  <si>
    <t>B</t>
  </si>
  <si>
    <t>Charlie Black</t>
  </si>
  <si>
    <t>Science</t>
  </si>
  <si>
    <t>Diana Green</t>
  </si>
  <si>
    <t>History</t>
  </si>
  <si>
    <t>C</t>
  </si>
  <si>
    <t>Ethan Blue</t>
  </si>
  <si>
    <t>Geography</t>
  </si>
  <si>
    <t>Fiona Red</t>
  </si>
  <si>
    <t>George Yellow</t>
  </si>
  <si>
    <t>Hannah Purple</t>
  </si>
  <si>
    <t>Isaac Orange</t>
  </si>
  <si>
    <t>Julia Pink</t>
  </si>
  <si>
    <t>Kevin Cyan</t>
  </si>
  <si>
    <t>Liam Violet</t>
  </si>
  <si>
    <t>Mia Navy</t>
  </si>
  <si>
    <t>Noah Teal</t>
  </si>
  <si>
    <t>Olivia Coral</t>
  </si>
  <si>
    <t>Peter Silver</t>
  </si>
  <si>
    <t>Quinn Gold</t>
  </si>
  <si>
    <t>Rachel Bronze</t>
  </si>
  <si>
    <t>Sam Indigo</t>
  </si>
  <si>
    <t>Tina Olive</t>
  </si>
  <si>
    <t>Employee Payroll</t>
  </si>
  <si>
    <t>Mr. Rilwan</t>
  </si>
  <si>
    <t>Last name</t>
  </si>
  <si>
    <t>First Name</t>
  </si>
  <si>
    <t>Hourly wage</t>
  </si>
  <si>
    <t>Kerm</t>
  </si>
  <si>
    <t>Jon</t>
  </si>
  <si>
    <t>Howard</t>
  </si>
  <si>
    <t>Glenda</t>
  </si>
  <si>
    <t>O' Donnald</t>
  </si>
  <si>
    <t>Ron</t>
  </si>
  <si>
    <t>Herndande</t>
  </si>
  <si>
    <t>Wendy</t>
  </si>
  <si>
    <t>Smith</t>
  </si>
  <si>
    <t xml:space="preserve">Paul </t>
  </si>
  <si>
    <t>Baker</t>
  </si>
  <si>
    <t>Tom</t>
  </si>
  <si>
    <t>Valinda</t>
  </si>
  <si>
    <t>Nancy</t>
  </si>
  <si>
    <t>Carnehan</t>
  </si>
  <si>
    <t>Karen</t>
  </si>
  <si>
    <t>Westerfiald</t>
  </si>
  <si>
    <t>Dennis</t>
  </si>
  <si>
    <t>Panfold</t>
  </si>
  <si>
    <t>Sandy</t>
  </si>
  <si>
    <t>Islington</t>
  </si>
  <si>
    <t>Linda</t>
  </si>
  <si>
    <t>Young</t>
  </si>
  <si>
    <t>Olivia</t>
  </si>
  <si>
    <t>Trention</t>
  </si>
  <si>
    <t>Blessing</t>
  </si>
  <si>
    <t>Engleheart</t>
  </si>
  <si>
    <t>Chandra</t>
  </si>
  <si>
    <t>Norman</t>
  </si>
  <si>
    <t>Bill</t>
  </si>
  <si>
    <t>Mann</t>
  </si>
  <si>
    <t>Trent</t>
  </si>
  <si>
    <t>Underhill</t>
  </si>
  <si>
    <t>Genesis</t>
  </si>
  <si>
    <t>Max</t>
  </si>
  <si>
    <t>Min</t>
  </si>
  <si>
    <t>Average</t>
  </si>
  <si>
    <t>Total</t>
  </si>
  <si>
    <t>week 1</t>
  </si>
  <si>
    <t>week 2</t>
  </si>
  <si>
    <t>week 3</t>
  </si>
  <si>
    <t>week 4</t>
  </si>
  <si>
    <t>week 5</t>
  </si>
  <si>
    <t>Hours worked</t>
  </si>
  <si>
    <t>week1</t>
  </si>
  <si>
    <t>week2</t>
  </si>
  <si>
    <t>week3</t>
  </si>
  <si>
    <t>week4</t>
  </si>
  <si>
    <t>week5</t>
  </si>
  <si>
    <t>Overtime used(per hour)</t>
  </si>
  <si>
    <t>Overtime pay</t>
  </si>
  <si>
    <t>Total pay</t>
  </si>
  <si>
    <t>TOTAL</t>
  </si>
  <si>
    <t>JULY BUDGET</t>
  </si>
  <si>
    <t>JUNE BUDGET</t>
  </si>
  <si>
    <t>plates (box of 50)</t>
  </si>
  <si>
    <t>plastic silverware(BOX OF 100)</t>
  </si>
  <si>
    <t>Napkin (box 250)</t>
  </si>
  <si>
    <t>Leather bag</t>
  </si>
  <si>
    <t>Plastic Cups ( box of 100)</t>
  </si>
  <si>
    <t>LINE TOTAL</t>
  </si>
  <si>
    <t>PRICE PER UNIT</t>
  </si>
  <si>
    <t>QUANTITY</t>
  </si>
  <si>
    <t>ITEM</t>
  </si>
  <si>
    <t>PAPER SUPPLY ORDERS</t>
  </si>
  <si>
    <t>Pay</t>
  </si>
  <si>
    <t>Monthly pay</t>
  </si>
  <si>
    <t>Financial Skill Test</t>
  </si>
  <si>
    <t>Company Phylosophy</t>
  </si>
  <si>
    <t>Experience</t>
  </si>
  <si>
    <t>Drug Test</t>
  </si>
  <si>
    <t>Employment Assessment</t>
  </si>
  <si>
    <t>Employed</t>
  </si>
  <si>
    <t>Overtime hours</t>
  </si>
  <si>
    <t>Over time pay</t>
  </si>
  <si>
    <t>Gender</t>
  </si>
  <si>
    <t>M</t>
  </si>
  <si>
    <t>F</t>
  </si>
  <si>
    <t>Eng</t>
  </si>
  <si>
    <t>Geo</t>
  </si>
  <si>
    <t>Phy</t>
  </si>
  <si>
    <t>Civic</t>
  </si>
  <si>
    <t>Chem</t>
  </si>
  <si>
    <t>bio</t>
  </si>
  <si>
    <t>Grade</t>
  </si>
  <si>
    <t>Position</t>
  </si>
  <si>
    <t>Gift</t>
  </si>
  <si>
    <t>Score</t>
  </si>
  <si>
    <t>70-100</t>
  </si>
  <si>
    <t>60-69</t>
  </si>
  <si>
    <t>50-59</t>
  </si>
  <si>
    <t>40-49</t>
  </si>
  <si>
    <t>30-39</t>
  </si>
  <si>
    <t>0-29</t>
  </si>
  <si>
    <t>D</t>
  </si>
  <si>
    <t>E</t>
  </si>
  <si>
    <t>LAPTOP</t>
  </si>
  <si>
    <t>IPAD</t>
  </si>
  <si>
    <t>SMARTWATCH</t>
  </si>
  <si>
    <t>AIRPOD</t>
  </si>
  <si>
    <t>SCHOOLBAG</t>
  </si>
  <si>
    <t>STATIONARY</t>
  </si>
  <si>
    <t>X</t>
  </si>
  <si>
    <t>Y</t>
  </si>
  <si>
    <t>Linear Equation Question  Y=X ^2+2X+4 : Range -4 &lt;= X &lt;= 4</t>
  </si>
  <si>
    <t>Ranking System</t>
  </si>
  <si>
    <t>How many HND female holders belongs to the welfare deparment</t>
  </si>
  <si>
    <t>Sum total salary collected by BSC holders</t>
  </si>
  <si>
    <t>How many HND holders belongs to the welfare deparment</t>
  </si>
  <si>
    <t>Sum total salary collected by HND holders</t>
  </si>
  <si>
    <t>How many Bsc are in the above list</t>
  </si>
  <si>
    <t>How many HND are in the above list</t>
  </si>
  <si>
    <t>Lvl-10</t>
  </si>
  <si>
    <t>SSCE</t>
  </si>
  <si>
    <t>Logistics</t>
  </si>
  <si>
    <t>Lvl-11</t>
  </si>
  <si>
    <t>ND</t>
  </si>
  <si>
    <t>NOC</t>
  </si>
  <si>
    <t>Lvl-15</t>
  </si>
  <si>
    <t>BSC</t>
  </si>
  <si>
    <t>Executive</t>
  </si>
  <si>
    <t>Lvl-13</t>
  </si>
  <si>
    <t>HND</t>
  </si>
  <si>
    <t>Welfare</t>
  </si>
  <si>
    <t>Lvl-14</t>
  </si>
  <si>
    <t>Admin</t>
  </si>
  <si>
    <t>EMPID</t>
  </si>
  <si>
    <t>SALARY</t>
  </si>
  <si>
    <t>GRADE LEVEL</t>
  </si>
  <si>
    <t>QUALIFICATION</t>
  </si>
  <si>
    <t>DEPARTMENT</t>
  </si>
  <si>
    <t xml:space="preserve">SEX </t>
  </si>
  <si>
    <t>FIRST NAME</t>
  </si>
  <si>
    <t>LAST NAME</t>
  </si>
  <si>
    <t>HUMAN RESOURCES CENTRE</t>
  </si>
  <si>
    <t>FEMTECH INFORMATION TECHONOLOGY INSTITUTE</t>
  </si>
  <si>
    <t>Count</t>
  </si>
  <si>
    <t>CountA</t>
  </si>
  <si>
    <t>CountIf</t>
  </si>
  <si>
    <t>CountIfs</t>
  </si>
  <si>
    <t>CountBlank</t>
  </si>
  <si>
    <t>Sum</t>
  </si>
  <si>
    <t>SumIf</t>
  </si>
  <si>
    <t>SumIfs</t>
  </si>
  <si>
    <t>Text</t>
  </si>
  <si>
    <t>Number</t>
  </si>
  <si>
    <t>Rice</t>
  </si>
  <si>
    <t>S/N</t>
  </si>
  <si>
    <t>Transaction Number</t>
  </si>
  <si>
    <t>Prouct Description</t>
  </si>
  <si>
    <t>Store cost</t>
  </si>
  <si>
    <t>Sales Price</t>
  </si>
  <si>
    <t>Profit</t>
  </si>
  <si>
    <t>Quantity</t>
  </si>
  <si>
    <t>Total Sales Price</t>
  </si>
  <si>
    <t>Total Profit</t>
  </si>
  <si>
    <t>Month</t>
  </si>
  <si>
    <t>Jan</t>
  </si>
  <si>
    <t>Feb</t>
  </si>
  <si>
    <t>Mar</t>
  </si>
  <si>
    <t>Apr</t>
  </si>
  <si>
    <t>May</t>
  </si>
  <si>
    <t>June</t>
  </si>
  <si>
    <t>July</t>
  </si>
  <si>
    <t>Aug</t>
  </si>
  <si>
    <t>Sep</t>
  </si>
  <si>
    <t>Oct</t>
  </si>
  <si>
    <t>Nov</t>
  </si>
  <si>
    <t>Dec</t>
  </si>
  <si>
    <t>Product Description</t>
  </si>
  <si>
    <t>Store Cost</t>
  </si>
  <si>
    <t>Beans</t>
  </si>
  <si>
    <t>Garri</t>
  </si>
  <si>
    <t>Pasta</t>
  </si>
  <si>
    <t>Wheat</t>
  </si>
  <si>
    <t>Bread</t>
  </si>
  <si>
    <t>Noodles</t>
  </si>
  <si>
    <t>Semolina</t>
  </si>
  <si>
    <t>Veg.Oil</t>
  </si>
  <si>
    <t>Plantain</t>
  </si>
  <si>
    <t xml:space="preserve">Commission </t>
  </si>
  <si>
    <t>Sales_Report</t>
  </si>
  <si>
    <t>Tanke</t>
  </si>
  <si>
    <t>Taiwo</t>
  </si>
  <si>
    <t>Oja</t>
  </si>
  <si>
    <t>Jide</t>
  </si>
  <si>
    <t>Kike</t>
  </si>
  <si>
    <t>Shittu</t>
  </si>
  <si>
    <t>Tolu</t>
  </si>
  <si>
    <t>Shola</t>
  </si>
  <si>
    <t>Bose</t>
  </si>
  <si>
    <t>Sales Location</t>
  </si>
  <si>
    <t>Sales Person</t>
  </si>
  <si>
    <t>Michael</t>
  </si>
  <si>
    <t>Abass</t>
  </si>
  <si>
    <t>Fisayo</t>
  </si>
  <si>
    <t>Titi</t>
  </si>
  <si>
    <t>Segun</t>
  </si>
  <si>
    <t>Tayo</t>
  </si>
  <si>
    <t>Dayo</t>
  </si>
  <si>
    <t>Ola</t>
  </si>
  <si>
    <t>Ayo</t>
  </si>
  <si>
    <t>Kemi</t>
  </si>
  <si>
    <t>Tola</t>
  </si>
  <si>
    <t>Joy</t>
  </si>
  <si>
    <t>Row Labels</t>
  </si>
  <si>
    <t>Grand Total</t>
  </si>
  <si>
    <t>Sum of Total Profit</t>
  </si>
  <si>
    <t>Sum of Commission</t>
  </si>
  <si>
    <t>Sum of Total Sales Price</t>
  </si>
  <si>
    <t>Column Labels</t>
  </si>
  <si>
    <t>Sum of Quantity</t>
  </si>
  <si>
    <t>1.What is the total Profit made on the sales of pasta?</t>
  </si>
  <si>
    <t>2.Total commission made by Jide?</t>
  </si>
  <si>
    <t>3.Which location generated the Highest profit?</t>
  </si>
  <si>
    <t>4.Which Product generated the highest profit?</t>
  </si>
  <si>
    <t>5.Which Month has the highest sales transaction?</t>
  </si>
  <si>
    <t>6.Which location has the highest demand for bread?</t>
  </si>
  <si>
    <t>7.Trend of profit from Jan – Dec?</t>
  </si>
  <si>
    <t>8.What is the relationship between location and the demand for each product?</t>
  </si>
  <si>
    <t>9.Trend of sales each month?</t>
  </si>
  <si>
    <t>10.What is the total sales profit made by Jide and Tolu?</t>
  </si>
  <si>
    <t>Name</t>
  </si>
  <si>
    <t>Age</t>
  </si>
  <si>
    <t>Pre-interview score</t>
  </si>
  <si>
    <t>Grade point</t>
  </si>
  <si>
    <t>Qualification</t>
  </si>
  <si>
    <t>State</t>
  </si>
  <si>
    <t>James Olaosebikan</t>
  </si>
  <si>
    <t>NCE</t>
  </si>
  <si>
    <t>Enugu</t>
  </si>
  <si>
    <t>Abdulrahman Sofiah</t>
  </si>
  <si>
    <t>OND</t>
  </si>
  <si>
    <t>Kwara</t>
  </si>
  <si>
    <t>Oyeyemi Esther</t>
  </si>
  <si>
    <t>BSc</t>
  </si>
  <si>
    <t>Adebayo Rosemary</t>
  </si>
  <si>
    <t>Oyo</t>
  </si>
  <si>
    <t>Abdulateef Aisha</t>
  </si>
  <si>
    <t>Osun</t>
  </si>
  <si>
    <t>Ilesanmi Peter</t>
  </si>
  <si>
    <t xml:space="preserve">Abdulahi Sheriff </t>
  </si>
  <si>
    <t>Olanrewaju Quadri</t>
  </si>
  <si>
    <t>Festus Oriyomi</t>
  </si>
  <si>
    <t>Lagos</t>
  </si>
  <si>
    <t>Oseni Temitope</t>
  </si>
  <si>
    <t>Fasasi Abdullateef</t>
  </si>
  <si>
    <t>Sonoiki Yusuf</t>
  </si>
  <si>
    <t>Lawal Feranmi</t>
  </si>
  <si>
    <t>Otunola Fadekemi</t>
  </si>
  <si>
    <t>Port-Harcourt</t>
  </si>
  <si>
    <t>Adebayo Adeola</t>
  </si>
  <si>
    <t>Baylsa</t>
  </si>
  <si>
    <t>Otunba Adeyemi</t>
  </si>
  <si>
    <t>Kaduna</t>
  </si>
  <si>
    <t>Ibrahim Kaosara</t>
  </si>
  <si>
    <t>Ayomide Komolafe</t>
  </si>
  <si>
    <t>Omotara Johnson</t>
  </si>
  <si>
    <t>Mide Martins</t>
  </si>
  <si>
    <t>S/No</t>
  </si>
  <si>
    <t>Applicant Status</t>
  </si>
  <si>
    <t>Salary</t>
  </si>
  <si>
    <t>Salary Remaining</t>
  </si>
  <si>
    <t>Compensation Money</t>
  </si>
  <si>
    <t>Hired</t>
  </si>
  <si>
    <t>Not Hired</t>
  </si>
  <si>
    <t>Sum of Compensation Money</t>
  </si>
  <si>
    <t>Sum of Salary</t>
  </si>
  <si>
    <t>Total Sum of Salary</t>
  </si>
  <si>
    <t>Total Sum of Compensation Money</t>
  </si>
  <si>
    <t>Overall Expenditure</t>
  </si>
  <si>
    <t>Count of Name</t>
  </si>
  <si>
    <t>6. Calculate the total expenditure the company spent on “NOT HIRED” staff</t>
  </si>
  <si>
    <t>7. Calculate the total expenditure the company spent on the “HIRED” staff</t>
  </si>
  <si>
    <t>8. Calculate the overall expenditure the company incurred in hiring New staff</t>
  </si>
  <si>
    <r>
      <rPr>
        <sz val="11"/>
        <rFont val="Calibri"/>
        <family val="2"/>
        <scheme val="minor"/>
      </rPr>
      <t>9. Count the total number of the “HIRED” staff from “Kwara” state</t>
    </r>
    <r>
      <rPr>
        <sz val="11"/>
        <color rgb="FF006100"/>
        <rFont val="Calibri"/>
        <family val="2"/>
        <scheme val="minor"/>
      </rPr>
      <t xml:space="preserve"> </t>
    </r>
  </si>
  <si>
    <t xml:space="preserve">10. Count the total number of “HIRED” staff” from “Oyo” state </t>
  </si>
  <si>
    <t>11. Count the total number of “HIRED” staff from “Enugu” state</t>
  </si>
  <si>
    <t>12. If the Company is based in the south-western part of Nigeria and has decided to employ based on
proximity, how many Applicants would have been hired?</t>
  </si>
  <si>
    <t>Car ID</t>
  </si>
  <si>
    <t>Maker</t>
  </si>
  <si>
    <t>Maker (Full Name)</t>
  </si>
  <si>
    <t>Model</t>
  </si>
  <si>
    <t>Model (Full Name)</t>
  </si>
  <si>
    <t>Manufacture Year</t>
  </si>
  <si>
    <t>Miles</t>
  </si>
  <si>
    <t>Miles / Year</t>
  </si>
  <si>
    <t>Color</t>
  </si>
  <si>
    <t>Driver</t>
  </si>
  <si>
    <t>Warantee Miles</t>
  </si>
  <si>
    <t>Covered?</t>
  </si>
  <si>
    <t>New Car ID</t>
  </si>
  <si>
    <t>TY96CAM020</t>
  </si>
  <si>
    <t>Green</t>
  </si>
  <si>
    <t>Chan</t>
  </si>
  <si>
    <t>CR04CAR047</t>
  </si>
  <si>
    <t>White</t>
  </si>
  <si>
    <t>Bard</t>
  </si>
  <si>
    <t>TY00CAM022</t>
  </si>
  <si>
    <t>Ewenty</t>
  </si>
  <si>
    <t>TY98CAM021</t>
  </si>
  <si>
    <t>Black</t>
  </si>
  <si>
    <t>Swartz</t>
  </si>
  <si>
    <t>TY03COR026</t>
  </si>
  <si>
    <t>Gaul</t>
  </si>
  <si>
    <t>TY09CAM024</t>
  </si>
  <si>
    <t>GM00SLV019</t>
  </si>
  <si>
    <t>Blue</t>
  </si>
  <si>
    <t>Vizzini</t>
  </si>
  <si>
    <t>CR04PTC042</t>
  </si>
  <si>
    <t>HO99CIV030</t>
  </si>
  <si>
    <t>Rodriguez</t>
  </si>
  <si>
    <t>HO05ODY037</t>
  </si>
  <si>
    <t>CR00CAR046</t>
  </si>
  <si>
    <t>Jones</t>
  </si>
  <si>
    <t>GM98SLV018</t>
  </si>
  <si>
    <t>Santos</t>
  </si>
  <si>
    <t>CR99CAR045</t>
  </si>
  <si>
    <t>Hulinski</t>
  </si>
  <si>
    <t>TY02CAM023</t>
  </si>
  <si>
    <t>HO07ODY038</t>
  </si>
  <si>
    <t>HO01CIV031</t>
  </si>
  <si>
    <t>HO01ODY040</t>
  </si>
  <si>
    <t>FD06FCS007</t>
  </si>
  <si>
    <t>Lyon</t>
  </si>
  <si>
    <t>TY02COR025</t>
  </si>
  <si>
    <t>Red</t>
  </si>
  <si>
    <t>FD08MTG003</t>
  </si>
  <si>
    <t>FD13FCS009</t>
  </si>
  <si>
    <t>FD13FCS010</t>
  </si>
  <si>
    <t>Praulty</t>
  </si>
  <si>
    <t>TY12COR028</t>
  </si>
  <si>
    <t>CR04CAR048</t>
  </si>
  <si>
    <t>FD06FCS006</t>
  </si>
  <si>
    <t>FD06MTG002</t>
  </si>
  <si>
    <t>McCall</t>
  </si>
  <si>
    <t>CR07PTC043</t>
  </si>
  <si>
    <t>HO10CIV033</t>
  </si>
  <si>
    <t>HO11CIV034</t>
  </si>
  <si>
    <t>FD09FCS008</t>
  </si>
  <si>
    <t>FD08MTG004</t>
  </si>
  <si>
    <t>HY11ELA049</t>
  </si>
  <si>
    <t>Torrens</t>
  </si>
  <si>
    <t>FD08MTG005</t>
  </si>
  <si>
    <t>GM10SLV017</t>
  </si>
  <si>
    <t>FD06MTG001</t>
  </si>
  <si>
    <t>FD13FCS012</t>
  </si>
  <si>
    <t>CR11PTC044</t>
  </si>
  <si>
    <t>HY13ELA052</t>
  </si>
  <si>
    <t>HY13ELA051</t>
  </si>
  <si>
    <t>HY12ELA050</t>
  </si>
  <si>
    <t>TY12CAM029</t>
  </si>
  <si>
    <t>TY14COR027</t>
  </si>
  <si>
    <t>GM09CMR014</t>
  </si>
  <si>
    <t>GM12CMR015</t>
  </si>
  <si>
    <t>FD12FCS011</t>
  </si>
  <si>
    <t>Yousef</t>
  </si>
  <si>
    <t>HO10CIV032</t>
  </si>
  <si>
    <t>GM14CMR016</t>
  </si>
  <si>
    <t>HO13CIV036</t>
  </si>
  <si>
    <t>FD13FCS013</t>
  </si>
  <si>
    <t>HO14ODY041</t>
  </si>
  <si>
    <t>HO08ODY039</t>
  </si>
  <si>
    <t>HO12CIV035</t>
  </si>
  <si>
    <t>Toyota</t>
  </si>
  <si>
    <t>Chrysler</t>
  </si>
  <si>
    <t>General Number</t>
  </si>
  <si>
    <t>Honda</t>
  </si>
  <si>
    <t>Ford</t>
  </si>
  <si>
    <t>Hyundai</t>
  </si>
  <si>
    <t>Camry</t>
  </si>
  <si>
    <t>Caravan</t>
  </si>
  <si>
    <t>Corolla</t>
  </si>
  <si>
    <t>Saloon</t>
  </si>
  <si>
    <t>Pontiac</t>
  </si>
  <si>
    <t>Odyssey</t>
  </si>
  <si>
    <t>Focus</t>
  </si>
  <si>
    <t>Mustang</t>
  </si>
  <si>
    <t>Elantra</t>
  </si>
  <si>
    <t>Camara</t>
  </si>
  <si>
    <t>CAM</t>
  </si>
  <si>
    <t>CAR</t>
  </si>
  <si>
    <t>CIV</t>
  </si>
  <si>
    <t>CMR</t>
  </si>
  <si>
    <t>COR</t>
  </si>
  <si>
    <t>ELA</t>
  </si>
  <si>
    <t>FCS</t>
  </si>
  <si>
    <t>MTG</t>
  </si>
  <si>
    <t>ODY</t>
  </si>
  <si>
    <t>PTC</t>
  </si>
  <si>
    <t>SLV</t>
  </si>
  <si>
    <t>Sum of Miles</t>
  </si>
  <si>
    <t>Average of Miles / Year</t>
  </si>
  <si>
    <t>Covered</t>
  </si>
  <si>
    <t>Not Covered</t>
  </si>
  <si>
    <t>Count of Car ID</t>
  </si>
  <si>
    <t>CAR INVENTORY ANALYSIS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</si>
</sst>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yyyy\-mm\-dd;@"/>
    <numFmt numFmtId="165" formatCode="mm/dd/yy;@"/>
    <numFmt numFmtId="166" formatCode="_([$$-409]* #,##0.00_);_([$$-409]* \(#,##0.00\);_([$$-409]* &quot;-&quot;??_);_(@_)"/>
    <numFmt numFmtId="167" formatCode="0.0"/>
    <numFmt numFmtId="168" formatCode="#,##0.00\ &quot;$&quot;"/>
    <numFmt numFmtId="169" formatCode="0.00000000000000%"/>
    <numFmt numFmtId="170" formatCode="_-[$₦-46A]* #,##0.00_-;\-[$₦-46A]* #,##0.00_-;_-[$₦-46A]* &quot;-&quot;??_-;_-@_-"/>
    <numFmt numFmtId="171" formatCode="_-[$₦-46A]* #,##0.000_-;\-[$₦-46A]* #,##0.000_-;_-[$₦-46A]* &quot;-&quot;???_-;_-@_-"/>
  </numFmts>
  <fonts count="1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0"/>
      <name val="Calibri"/>
      <family val="2"/>
      <scheme val="minor"/>
    </font>
    <font>
      <sz val="14"/>
      <color theme="1"/>
      <name val="Calibri"/>
      <family val="2"/>
      <scheme val="minor"/>
    </font>
    <font>
      <b/>
      <sz val="14"/>
      <color theme="0"/>
      <name val="Calibri"/>
      <family val="2"/>
      <scheme val="minor"/>
    </font>
    <font>
      <b/>
      <sz val="15"/>
      <color theme="3"/>
      <name val="Calibri"/>
      <family val="2"/>
      <scheme val="minor"/>
    </font>
    <font>
      <b/>
      <sz val="11"/>
      <color theme="3"/>
      <name val="Calibri"/>
      <family val="2"/>
      <scheme val="minor"/>
    </font>
    <font>
      <b/>
      <sz val="11"/>
      <color theme="0"/>
      <name val="Calibri"/>
      <family val="2"/>
      <scheme val="minor"/>
    </font>
    <font>
      <sz val="11"/>
      <color rgb="FF006100"/>
      <name val="Calibri"/>
      <family val="2"/>
      <scheme val="minor"/>
    </font>
    <font>
      <b/>
      <sz val="11"/>
      <color theme="1"/>
      <name val="Times New Roman"/>
      <family val="1"/>
    </font>
    <font>
      <sz val="11"/>
      <color theme="1"/>
      <name val="Times New Roman"/>
      <family val="1"/>
    </font>
    <font>
      <sz val="11"/>
      <name val="Calibri"/>
      <family val="2"/>
      <scheme val="minor"/>
    </font>
    <font>
      <b/>
      <sz val="11"/>
      <name val="Calibri"/>
      <family val="2"/>
      <scheme val="minor"/>
    </font>
    <font>
      <sz val="18"/>
      <color theme="3"/>
      <name val="Cambria"/>
      <family val="2"/>
      <scheme val="major"/>
    </font>
  </fonts>
  <fills count="13">
    <fill>
      <patternFill patternType="none"/>
    </fill>
    <fill>
      <patternFill patternType="gray125"/>
    </fill>
    <fill>
      <patternFill patternType="solid">
        <fgColor theme="4" tint="0.79998168889431442"/>
        <bgColor indexed="65"/>
      </patternFill>
    </fill>
    <fill>
      <patternFill patternType="solid">
        <fgColor theme="6"/>
      </patternFill>
    </fill>
    <fill>
      <patternFill patternType="solid">
        <fgColor theme="0"/>
        <bgColor indexed="64"/>
      </patternFill>
    </fill>
    <fill>
      <patternFill patternType="solid">
        <fgColor theme="2"/>
        <bgColor indexed="64"/>
      </patternFill>
    </fill>
    <fill>
      <patternFill patternType="solid">
        <fgColor theme="3" tint="0.79998168889431442"/>
        <bgColor indexed="64"/>
      </patternFill>
    </fill>
    <fill>
      <patternFill patternType="solid">
        <fgColor rgb="FFFFFF00"/>
        <bgColor indexed="64"/>
      </patternFill>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rgb="FFC6EFCE"/>
      </patternFill>
    </fill>
    <fill>
      <patternFill patternType="solid">
        <fgColor theme="5" tint="0.59999389629810485"/>
        <bgColor indexed="65"/>
      </patternFill>
    </fill>
  </fills>
  <borders count="1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bottom style="thick">
        <color theme="4"/>
      </bottom>
      <diagonal/>
    </border>
    <border>
      <left/>
      <right/>
      <top/>
      <bottom style="medium">
        <color theme="4" tint="0.39997558519241921"/>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s>
  <cellStyleXfs count="10">
    <xf numFmtId="0" fontId="0" fillId="0" borderId="0"/>
    <xf numFmtId="44" fontId="3"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9" fontId="3" fillId="0" borderId="0" applyFont="0" applyFill="0" applyBorder="0" applyAlignment="0" applyProtection="0"/>
    <xf numFmtId="0" fontId="7" fillId="0" borderId="10" applyNumberFormat="0" applyFill="0" applyAlignment="0" applyProtection="0"/>
    <xf numFmtId="0" fontId="8" fillId="0" borderId="11" applyNumberFormat="0" applyFill="0" applyAlignment="0" applyProtection="0"/>
    <xf numFmtId="0" fontId="10" fillId="11" borderId="0" applyNumberFormat="0" applyBorder="0" applyAlignment="0" applyProtection="0"/>
    <xf numFmtId="0" fontId="3" fillId="12" borderId="0" applyNumberFormat="0" applyBorder="0" applyAlignment="0" applyProtection="0"/>
    <xf numFmtId="0" fontId="15" fillId="0" borderId="0" applyNumberFormat="0" applyFill="0" applyBorder="0" applyAlignment="0" applyProtection="0"/>
  </cellStyleXfs>
  <cellXfs count="92">
    <xf numFmtId="0" fontId="0" fillId="0" borderId="0" xfId="0"/>
    <xf numFmtId="0" fontId="1" fillId="0" borderId="1" xfId="0" applyFont="1" applyBorder="1" applyAlignment="1">
      <alignment horizontal="center" vertical="top"/>
    </xf>
    <xf numFmtId="0" fontId="0" fillId="0" borderId="1" xfId="0" applyBorder="1"/>
    <xf numFmtId="14" fontId="0" fillId="0" borderId="1" xfId="0" applyNumberFormat="1" applyBorder="1"/>
    <xf numFmtId="164" fontId="0" fillId="0" borderId="1" xfId="0" applyNumberFormat="1" applyBorder="1"/>
    <xf numFmtId="165" fontId="0" fillId="0" borderId="1" xfId="0" applyNumberFormat="1" applyBorder="1"/>
    <xf numFmtId="166" fontId="0" fillId="0" borderId="0" xfId="0" applyNumberFormat="1"/>
    <xf numFmtId="0" fontId="0" fillId="0" borderId="0" xfId="0"/>
    <xf numFmtId="0" fontId="0" fillId="0" borderId="0" xfId="0" applyNumberFormat="1"/>
    <xf numFmtId="167" fontId="0" fillId="0" borderId="0" xfId="0" applyNumberFormat="1"/>
    <xf numFmtId="44" fontId="0" fillId="0" borderId="0" xfId="0" applyNumberFormat="1"/>
    <xf numFmtId="0" fontId="0" fillId="0" borderId="0" xfId="0"/>
    <xf numFmtId="0" fontId="0" fillId="4" borderId="0" xfId="0" applyFill="1"/>
    <xf numFmtId="0" fontId="0" fillId="5" borderId="0" xfId="0" applyFill="1"/>
    <xf numFmtId="44" fontId="0" fillId="4" borderId="0" xfId="1" applyFont="1" applyFill="1"/>
    <xf numFmtId="0" fontId="3" fillId="2" borderId="0" xfId="2"/>
    <xf numFmtId="168" fontId="0" fillId="5" borderId="0" xfId="0" applyNumberFormat="1" applyFill="1"/>
    <xf numFmtId="0" fontId="5" fillId="4" borderId="0" xfId="0" applyFont="1" applyFill="1"/>
    <xf numFmtId="0" fontId="0" fillId="6" borderId="0" xfId="0" applyFill="1"/>
    <xf numFmtId="0" fontId="6" fillId="6" borderId="0" xfId="0" applyFont="1" applyFill="1"/>
    <xf numFmtId="0" fontId="5" fillId="5" borderId="0" xfId="0" applyFont="1" applyFill="1" applyAlignment="1">
      <alignment horizontal="left"/>
    </xf>
    <xf numFmtId="0" fontId="5" fillId="5" borderId="0" xfId="0" applyFont="1" applyFill="1" applyAlignment="1">
      <alignment horizontal="left" wrapText="1"/>
    </xf>
    <xf numFmtId="0" fontId="4" fillId="3" borderId="0" xfId="3"/>
    <xf numFmtId="44" fontId="4" fillId="3" borderId="0" xfId="3" applyNumberFormat="1"/>
    <xf numFmtId="0" fontId="1" fillId="0" borderId="0" xfId="0" applyFont="1"/>
    <xf numFmtId="44" fontId="0" fillId="0" borderId="0" xfId="1" applyFont="1"/>
    <xf numFmtId="0" fontId="0" fillId="0" borderId="0" xfId="0"/>
    <xf numFmtId="0" fontId="0" fillId="0" borderId="0" xfId="0" applyAlignment="1">
      <alignment textRotation="90"/>
    </xf>
    <xf numFmtId="9" fontId="0" fillId="0" borderId="0" xfId="4" applyFont="1"/>
    <xf numFmtId="169" fontId="0" fillId="0" borderId="0" xfId="4" applyNumberFormat="1" applyFont="1"/>
    <xf numFmtId="0" fontId="0" fillId="0" borderId="0" xfId="1" applyNumberFormat="1" applyFont="1"/>
    <xf numFmtId="167" fontId="0" fillId="0" borderId="0" xfId="1" applyNumberFormat="1" applyFont="1"/>
    <xf numFmtId="0" fontId="0" fillId="0" borderId="0" xfId="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xf numFmtId="0" fontId="1" fillId="0" borderId="0" xfId="0" applyFont="1"/>
    <xf numFmtId="0" fontId="0" fillId="0" borderId="0" xfId="0"/>
    <xf numFmtId="0" fontId="0" fillId="7" borderId="0" xfId="0" applyFill="1"/>
    <xf numFmtId="44" fontId="0" fillId="7" borderId="0" xfId="1" applyFont="1" applyFill="1"/>
    <xf numFmtId="0" fontId="0" fillId="0" borderId="0" xfId="0"/>
    <xf numFmtId="0" fontId="0" fillId="0" borderId="0" xfId="0"/>
    <xf numFmtId="0" fontId="1" fillId="0" borderId="0" xfId="0" applyFont="1"/>
    <xf numFmtId="0" fontId="9" fillId="8" borderId="0" xfId="0" applyFont="1" applyFill="1" applyBorder="1"/>
    <xf numFmtId="0" fontId="9" fillId="8" borderId="14" xfId="0" applyFont="1" applyFill="1" applyBorder="1"/>
    <xf numFmtId="44" fontId="9" fillId="8" borderId="14" xfId="1" applyNumberFormat="1" applyFont="1" applyFill="1" applyBorder="1"/>
    <xf numFmtId="0" fontId="0" fillId="9" borderId="15" xfId="0" applyFont="1" applyFill="1" applyBorder="1"/>
    <xf numFmtId="0" fontId="0" fillId="9" borderId="16" xfId="0" applyFont="1" applyFill="1" applyBorder="1"/>
    <xf numFmtId="44" fontId="0" fillId="9" borderId="16" xfId="1" applyNumberFormat="1" applyFont="1" applyFill="1" applyBorder="1"/>
    <xf numFmtId="0" fontId="0" fillId="10" borderId="12" xfId="0" applyFont="1" applyFill="1" applyBorder="1"/>
    <xf numFmtId="0" fontId="0" fillId="10" borderId="13" xfId="0" applyFont="1" applyFill="1" applyBorder="1"/>
    <xf numFmtId="44" fontId="0" fillId="10" borderId="13" xfId="1" applyNumberFormat="1" applyFont="1" applyFill="1" applyBorder="1"/>
    <xf numFmtId="0" fontId="0" fillId="9" borderId="12" xfId="0" applyFont="1" applyFill="1" applyBorder="1"/>
    <xf numFmtId="0" fontId="0" fillId="9" borderId="13" xfId="0" applyFont="1" applyFill="1" applyBorder="1"/>
    <xf numFmtId="44" fontId="0" fillId="9" borderId="13" xfId="1" applyNumberFormat="1" applyFont="1" applyFill="1" applyBorder="1"/>
    <xf numFmtId="0" fontId="0" fillId="0" borderId="0" xfId="0" pivotButton="1"/>
    <xf numFmtId="0" fontId="0" fillId="0" borderId="0" xfId="0" applyAlignment="1">
      <alignment horizontal="left"/>
    </xf>
    <xf numFmtId="0" fontId="12" fillId="0" borderId="0" xfId="0" applyFont="1" applyBorder="1" applyAlignment="1">
      <alignment horizontal="left" vertical="center"/>
    </xf>
    <xf numFmtId="0" fontId="11" fillId="0" borderId="0" xfId="0" applyFont="1" applyBorder="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170" fontId="0" fillId="0" borderId="0" xfId="0" applyNumberFormat="1"/>
    <xf numFmtId="170" fontId="11" fillId="0" borderId="0" xfId="0" applyNumberFormat="1" applyFont="1" applyAlignment="1">
      <alignment horizontal="left" vertical="center"/>
    </xf>
    <xf numFmtId="170" fontId="12" fillId="0" borderId="0" xfId="0" applyNumberFormat="1" applyFont="1" applyAlignment="1">
      <alignment horizontal="left" vertical="center"/>
    </xf>
    <xf numFmtId="171" fontId="12" fillId="0" borderId="0" xfId="0" applyNumberFormat="1" applyFont="1" applyAlignment="1">
      <alignment horizontal="left" vertical="center"/>
    </xf>
    <xf numFmtId="0" fontId="14" fillId="3" borderId="0" xfId="3" applyFont="1" applyAlignment="1">
      <alignment horizontal="left"/>
    </xf>
    <xf numFmtId="170" fontId="14" fillId="3" borderId="0" xfId="3" applyNumberFormat="1" applyFont="1"/>
    <xf numFmtId="0" fontId="0" fillId="0" borderId="0" xfId="0" applyAlignment="1">
      <alignment wrapText="1"/>
    </xf>
    <xf numFmtId="0" fontId="0" fillId="0" borderId="0" xfId="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xf numFmtId="0" fontId="1" fillId="0" borderId="0" xfId="0" applyFont="1"/>
    <xf numFmtId="0" fontId="7" fillId="0" borderId="10" xfId="5"/>
    <xf numFmtId="0" fontId="8" fillId="0" borderId="0" xfId="6" applyBorder="1"/>
    <xf numFmtId="0" fontId="15" fillId="0" borderId="0" xfId="9" applyAlignment="1">
      <alignment horizontal="center"/>
    </xf>
    <xf numFmtId="0" fontId="3" fillId="12" borderId="0" xfId="8"/>
    <xf numFmtId="0" fontId="13" fillId="11" borderId="0" xfId="7" applyFont="1"/>
    <xf numFmtId="0" fontId="10" fillId="11" borderId="0" xfId="7"/>
    <xf numFmtId="0" fontId="13" fillId="11" borderId="0" xfId="7" applyFont="1" applyAlignment="1">
      <alignment wrapText="1"/>
    </xf>
    <xf numFmtId="0" fontId="10" fillId="11" borderId="0" xfId="7" applyAlignment="1">
      <alignment wrapText="1"/>
    </xf>
  </cellXfs>
  <cellStyles count="10">
    <cellStyle name="20% - Accent1" xfId="2" builtinId="30"/>
    <cellStyle name="40% - Accent2" xfId="8" builtinId="35"/>
    <cellStyle name="Accent3" xfId="3" builtinId="37"/>
    <cellStyle name="Currency" xfId="1" builtinId="4"/>
    <cellStyle name="Good" xfId="7" builtinId="26"/>
    <cellStyle name="Heading 1" xfId="5" builtinId="16"/>
    <cellStyle name="Heading 3" xfId="6" builtinId="18"/>
    <cellStyle name="Normal" xfId="0" builtinId="0"/>
    <cellStyle name="Percent" xfId="4" builtinId="5"/>
    <cellStyle name="Title" xfId="9" builtinId="15"/>
  </cellStyles>
  <dxfs count="31">
    <dxf>
      <font>
        <b val="0"/>
        <i val="0"/>
        <strike val="0"/>
        <condense val="0"/>
        <extend val="0"/>
        <outline val="0"/>
        <shadow val="0"/>
        <u val="none"/>
        <vertAlign val="baseline"/>
        <sz val="11"/>
        <color theme="1"/>
        <name val="Times New Roman"/>
        <family val="1"/>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70" formatCode="_-[$₦-46A]* #,##0.00_-;\-[$₦-46A]* #,##0.00_-;_-[$₦-46A]*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71" formatCode="_-[$₦-46A]* #,##0.000_-;\-[$₦-46A]* #,##0.000_-;_-[$₦-46A]*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70" formatCode="_-[$₦-46A]* #,##0.00_-;\-[$₦-46A]* #,##0.00_-;_-[$₦-46A]*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7" tint="0.79998168889431442"/>
          <bgColor theme="7" tint="0.79998168889431442"/>
        </patternFill>
      </fill>
    </dxf>
    <dxf>
      <font>
        <b/>
        <i val="0"/>
        <strike val="0"/>
        <condense val="0"/>
        <extend val="0"/>
        <outline val="0"/>
        <shadow val="0"/>
        <u val="none"/>
        <vertAlign val="baseline"/>
        <sz val="11"/>
        <color theme="0"/>
        <name val="Calibri"/>
        <family val="2"/>
        <scheme val="minor"/>
      </font>
      <fill>
        <patternFill patternType="solid">
          <fgColor theme="7"/>
          <bgColor theme="7"/>
        </patternFill>
      </fill>
      <border diagonalUp="0" diagonalDown="0" outline="0">
        <left style="thin">
          <color theme="0"/>
        </left>
        <right style="thin">
          <color theme="0"/>
        </right>
        <top/>
        <bottom/>
      </border>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9" Type="http://schemas.openxmlformats.org/officeDocument/2006/relationships/pivotCacheDefinition" Target="pivotCache/pivotCacheDefinition14.xml"/><Relationship Id="rId21" Type="http://schemas.openxmlformats.org/officeDocument/2006/relationships/worksheet" Target="worksheets/sheet21.xml"/><Relationship Id="rId34" Type="http://schemas.openxmlformats.org/officeDocument/2006/relationships/pivotCacheDefinition" Target="pivotCache/pivotCacheDefinition9.xml"/><Relationship Id="rId42" Type="http://schemas.openxmlformats.org/officeDocument/2006/relationships/pivotCacheDefinition" Target="pivotCache/pivotCacheDefinition17.xml"/><Relationship Id="rId47" Type="http://schemas.microsoft.com/office/2007/relationships/slicerCache" Target="slicerCaches/slicerCache5.xml"/><Relationship Id="rId50" Type="http://schemas.microsoft.com/office/2007/relationships/slicerCache" Target="slicerCaches/slicerCache8.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4.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7.xml"/><Relationship Id="rId37" Type="http://schemas.openxmlformats.org/officeDocument/2006/relationships/pivotCacheDefinition" Target="pivotCache/pivotCacheDefinition12.xml"/><Relationship Id="rId40" Type="http://schemas.openxmlformats.org/officeDocument/2006/relationships/pivotCacheDefinition" Target="pivotCache/pivotCacheDefinition15.xml"/><Relationship Id="rId45" Type="http://schemas.microsoft.com/office/2007/relationships/slicerCache" Target="slicerCaches/slicerCache3.xml"/><Relationship Id="rId53" Type="http://schemas.openxmlformats.org/officeDocument/2006/relationships/theme" Target="theme/theme1.xml"/><Relationship Id="rId58" Type="http://schemas.openxmlformats.org/officeDocument/2006/relationships/powerPivotData" Target="model/item.data"/><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openxmlformats.org/officeDocument/2006/relationships/pivotCacheDefinition" Target="pivotCache/pivotCacheDefinition10.xml"/><Relationship Id="rId43" Type="http://schemas.microsoft.com/office/2007/relationships/slicerCache" Target="slicerCaches/slicerCache1.xml"/><Relationship Id="rId48" Type="http://schemas.microsoft.com/office/2007/relationships/slicerCache" Target="slicerCaches/slicerCache6.xml"/><Relationship Id="rId56" Type="http://schemas.openxmlformats.org/officeDocument/2006/relationships/sharedStrings" Target="sharedStrings.xml"/><Relationship Id="rId8" Type="http://schemas.openxmlformats.org/officeDocument/2006/relationships/worksheet" Target="worksheets/sheet8.xml"/><Relationship Id="rId51" Type="http://schemas.microsoft.com/office/2007/relationships/slicerCache" Target="slicerCaches/slicerCache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8.xml"/><Relationship Id="rId38" Type="http://schemas.openxmlformats.org/officeDocument/2006/relationships/pivotCacheDefinition" Target="pivotCache/pivotCacheDefinition13.xml"/><Relationship Id="rId46" Type="http://schemas.microsoft.com/office/2007/relationships/slicerCache" Target="slicerCaches/slicerCache4.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6.xml"/><Relationship Id="rId54"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pivotCacheDefinition" Target="pivotCache/pivotCacheDefinition11.xml"/><Relationship Id="rId49" Type="http://schemas.microsoft.com/office/2007/relationships/slicerCache" Target="slicerCaches/slicerCache7.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pivotCacheDefinition" Target="pivotCache/pivotCacheDefinition6.xml"/><Relationship Id="rId44" Type="http://schemas.microsoft.com/office/2007/relationships/slicerCache" Target="slicerCaches/slicerCache2.xml"/><Relationship Id="rId52" Type="http://schemas.microsoft.com/office/2007/relationships/slicerCache" Target="slicerCaches/slicerCache10.xml"/><Relationship Id="rId6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Financial Skill Test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GradeBook!$B$4:$B$20</c:f>
              <c:strCache>
                <c:ptCount val="17"/>
                <c:pt idx="0">
                  <c:v>Jon</c:v>
                </c:pt>
                <c:pt idx="1">
                  <c:v>Glenda</c:v>
                </c:pt>
                <c:pt idx="2">
                  <c:v>Ron</c:v>
                </c:pt>
                <c:pt idx="3">
                  <c:v>Wendy</c:v>
                </c:pt>
                <c:pt idx="4">
                  <c:v>Paul </c:v>
                </c:pt>
                <c:pt idx="5">
                  <c:v>Tom</c:v>
                </c:pt>
                <c:pt idx="6">
                  <c:v>Nancy</c:v>
                </c:pt>
                <c:pt idx="7">
                  <c:v>Karen</c:v>
                </c:pt>
                <c:pt idx="8">
                  <c:v>Dennis</c:v>
                </c:pt>
                <c:pt idx="9">
                  <c:v>Sandy</c:v>
                </c:pt>
                <c:pt idx="10">
                  <c:v>Linda</c:v>
                </c:pt>
                <c:pt idx="11">
                  <c:v>Olivia</c:v>
                </c:pt>
                <c:pt idx="12">
                  <c:v>Blessing</c:v>
                </c:pt>
                <c:pt idx="13">
                  <c:v>Chandra</c:v>
                </c:pt>
                <c:pt idx="14">
                  <c:v>Bill</c:v>
                </c:pt>
                <c:pt idx="15">
                  <c:v>Trent</c:v>
                </c:pt>
                <c:pt idx="16">
                  <c:v>Genesis</c:v>
                </c:pt>
              </c:strCache>
            </c:strRef>
          </c:cat>
          <c:val>
            <c:numRef>
              <c:f>GradeBook!$C$4:$C$20</c:f>
              <c:numCache>
                <c:formatCode>General</c:formatCode>
                <c:ptCount val="17"/>
                <c:pt idx="0">
                  <c:v>9</c:v>
                </c:pt>
                <c:pt idx="1">
                  <c:v>5</c:v>
                </c:pt>
                <c:pt idx="2">
                  <c:v>7</c:v>
                </c:pt>
                <c:pt idx="3">
                  <c:v>8</c:v>
                </c:pt>
                <c:pt idx="4">
                  <c:v>5</c:v>
                </c:pt>
                <c:pt idx="5">
                  <c:v>6</c:v>
                </c:pt>
                <c:pt idx="6">
                  <c:v>8</c:v>
                </c:pt>
                <c:pt idx="7">
                  <c:v>9</c:v>
                </c:pt>
                <c:pt idx="8">
                  <c:v>6</c:v>
                </c:pt>
                <c:pt idx="9">
                  <c:v>7</c:v>
                </c:pt>
                <c:pt idx="10">
                  <c:v>8</c:v>
                </c:pt>
                <c:pt idx="11">
                  <c:v>6</c:v>
                </c:pt>
                <c:pt idx="12">
                  <c:v>10</c:v>
                </c:pt>
                <c:pt idx="13">
                  <c:v>5</c:v>
                </c:pt>
                <c:pt idx="14">
                  <c:v>9</c:v>
                </c:pt>
                <c:pt idx="15">
                  <c:v>7</c:v>
                </c:pt>
                <c:pt idx="16">
                  <c:v>9</c:v>
                </c:pt>
              </c:numCache>
            </c:numRef>
          </c:val>
          <c:extLst>
            <c:ext xmlns:c16="http://schemas.microsoft.com/office/drawing/2014/chart" uri="{C3380CC4-5D6E-409C-BE32-E72D297353CC}">
              <c16:uniqueId val="{00000000-E549-417E-9CEC-33D60FA5CFEF}"/>
            </c:ext>
          </c:extLst>
        </c:ser>
        <c:dLbls>
          <c:showLegendKey val="0"/>
          <c:showVal val="0"/>
          <c:showCatName val="0"/>
          <c:showSerName val="0"/>
          <c:showPercent val="0"/>
          <c:showBubbleSize val="0"/>
        </c:dLbls>
        <c:gapWidth val="150"/>
        <c:overlap val="100"/>
        <c:axId val="1845173919"/>
        <c:axId val="1864341295"/>
      </c:barChart>
      <c:catAx>
        <c:axId val="184517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341295"/>
        <c:crosses val="autoZero"/>
        <c:auto val="1"/>
        <c:lblAlgn val="ctr"/>
        <c:lblOffset val="100"/>
        <c:noMultiLvlLbl val="0"/>
      </c:catAx>
      <c:valAx>
        <c:axId val="1864341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7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Company Phylosophy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GradeBook!$B$4:$B$20</c:f>
              <c:strCache>
                <c:ptCount val="17"/>
                <c:pt idx="0">
                  <c:v>Jon</c:v>
                </c:pt>
                <c:pt idx="1">
                  <c:v>Glenda</c:v>
                </c:pt>
                <c:pt idx="2">
                  <c:v>Ron</c:v>
                </c:pt>
                <c:pt idx="3">
                  <c:v>Wendy</c:v>
                </c:pt>
                <c:pt idx="4">
                  <c:v>Paul </c:v>
                </c:pt>
                <c:pt idx="5">
                  <c:v>Tom</c:v>
                </c:pt>
                <c:pt idx="6">
                  <c:v>Nancy</c:v>
                </c:pt>
                <c:pt idx="7">
                  <c:v>Karen</c:v>
                </c:pt>
                <c:pt idx="8">
                  <c:v>Dennis</c:v>
                </c:pt>
                <c:pt idx="9">
                  <c:v>Sandy</c:v>
                </c:pt>
                <c:pt idx="10">
                  <c:v>Linda</c:v>
                </c:pt>
                <c:pt idx="11">
                  <c:v>Olivia</c:v>
                </c:pt>
                <c:pt idx="12">
                  <c:v>Blessing</c:v>
                </c:pt>
                <c:pt idx="13">
                  <c:v>Chandra</c:v>
                </c:pt>
                <c:pt idx="14">
                  <c:v>Bill</c:v>
                </c:pt>
                <c:pt idx="15">
                  <c:v>Trent</c:v>
                </c:pt>
                <c:pt idx="16">
                  <c:v>Genesis</c:v>
                </c:pt>
              </c:strCache>
            </c:strRef>
          </c:cat>
          <c:val>
            <c:numRef>
              <c:f>GradeBook!$D$4:$D$20</c:f>
              <c:numCache>
                <c:formatCode>General</c:formatCode>
                <c:ptCount val="17"/>
                <c:pt idx="0">
                  <c:v>15</c:v>
                </c:pt>
                <c:pt idx="1">
                  <c:v>18</c:v>
                </c:pt>
                <c:pt idx="2">
                  <c:v>17</c:v>
                </c:pt>
                <c:pt idx="3">
                  <c:v>19</c:v>
                </c:pt>
                <c:pt idx="4">
                  <c:v>14</c:v>
                </c:pt>
                <c:pt idx="5">
                  <c:v>18</c:v>
                </c:pt>
                <c:pt idx="6">
                  <c:v>14</c:v>
                </c:pt>
                <c:pt idx="7">
                  <c:v>18</c:v>
                </c:pt>
                <c:pt idx="8">
                  <c:v>17</c:v>
                </c:pt>
                <c:pt idx="9">
                  <c:v>20</c:v>
                </c:pt>
                <c:pt idx="10">
                  <c:v>20</c:v>
                </c:pt>
                <c:pt idx="11">
                  <c:v>16</c:v>
                </c:pt>
                <c:pt idx="12">
                  <c:v>13</c:v>
                </c:pt>
                <c:pt idx="13">
                  <c:v>18</c:v>
                </c:pt>
                <c:pt idx="14">
                  <c:v>18</c:v>
                </c:pt>
                <c:pt idx="15">
                  <c:v>15</c:v>
                </c:pt>
                <c:pt idx="16">
                  <c:v>16</c:v>
                </c:pt>
              </c:numCache>
            </c:numRef>
          </c:val>
          <c:extLst>
            <c:ext xmlns:c16="http://schemas.microsoft.com/office/drawing/2014/chart" uri="{C3380CC4-5D6E-409C-BE32-E72D297353CC}">
              <c16:uniqueId val="{00000000-ADA9-4786-AB52-7633F230BC76}"/>
            </c:ext>
          </c:extLst>
        </c:ser>
        <c:dLbls>
          <c:showLegendKey val="0"/>
          <c:showVal val="0"/>
          <c:showCatName val="0"/>
          <c:showSerName val="0"/>
          <c:showPercent val="0"/>
          <c:showBubbleSize val="0"/>
        </c:dLbls>
        <c:gapWidth val="219"/>
        <c:overlap val="-27"/>
        <c:axId val="1996820128"/>
        <c:axId val="1996841760"/>
      </c:barChart>
      <c:catAx>
        <c:axId val="199682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41760"/>
        <c:crosses val="autoZero"/>
        <c:auto val="1"/>
        <c:lblAlgn val="ctr"/>
        <c:lblOffset val="100"/>
        <c:noMultiLvlLbl val="0"/>
      </c:catAx>
      <c:valAx>
        <c:axId val="199684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2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GradeBook!$B$4:$B$20</c:f>
              <c:strCache>
                <c:ptCount val="17"/>
                <c:pt idx="0">
                  <c:v>Jon</c:v>
                </c:pt>
                <c:pt idx="1">
                  <c:v>Glenda</c:v>
                </c:pt>
                <c:pt idx="2">
                  <c:v>Ron</c:v>
                </c:pt>
                <c:pt idx="3">
                  <c:v>Wendy</c:v>
                </c:pt>
                <c:pt idx="4">
                  <c:v>Paul </c:v>
                </c:pt>
                <c:pt idx="5">
                  <c:v>Tom</c:v>
                </c:pt>
                <c:pt idx="6">
                  <c:v>Nancy</c:v>
                </c:pt>
                <c:pt idx="7">
                  <c:v>Karen</c:v>
                </c:pt>
                <c:pt idx="8">
                  <c:v>Dennis</c:v>
                </c:pt>
                <c:pt idx="9">
                  <c:v>Sandy</c:v>
                </c:pt>
                <c:pt idx="10">
                  <c:v>Linda</c:v>
                </c:pt>
                <c:pt idx="11">
                  <c:v>Olivia</c:v>
                </c:pt>
                <c:pt idx="12">
                  <c:v>Blessing</c:v>
                </c:pt>
                <c:pt idx="13">
                  <c:v>Chandra</c:v>
                </c:pt>
                <c:pt idx="14">
                  <c:v>Bill</c:v>
                </c:pt>
                <c:pt idx="15">
                  <c:v>Trent</c:v>
                </c:pt>
                <c:pt idx="16">
                  <c:v>Genesis</c:v>
                </c:pt>
              </c:strCache>
            </c:strRef>
          </c:cat>
          <c:val>
            <c:numRef>
              <c:f>GradeBook!$E$4:$E$20</c:f>
              <c:numCache>
                <c:formatCode>General</c:formatCode>
                <c:ptCount val="17"/>
                <c:pt idx="0">
                  <c:v>76</c:v>
                </c:pt>
                <c:pt idx="1">
                  <c:v>69</c:v>
                </c:pt>
                <c:pt idx="2">
                  <c:v>59</c:v>
                </c:pt>
                <c:pt idx="3">
                  <c:v>88</c:v>
                </c:pt>
                <c:pt idx="4">
                  <c:v>75</c:v>
                </c:pt>
                <c:pt idx="5">
                  <c:v>85</c:v>
                </c:pt>
                <c:pt idx="6">
                  <c:v>90</c:v>
                </c:pt>
                <c:pt idx="7">
                  <c:v>75</c:v>
                </c:pt>
                <c:pt idx="8">
                  <c:v>47</c:v>
                </c:pt>
                <c:pt idx="9">
                  <c:v>87</c:v>
                </c:pt>
                <c:pt idx="10">
                  <c:v>77</c:v>
                </c:pt>
                <c:pt idx="11">
                  <c:v>99</c:v>
                </c:pt>
                <c:pt idx="12">
                  <c:v>67</c:v>
                </c:pt>
                <c:pt idx="13">
                  <c:v>87</c:v>
                </c:pt>
                <c:pt idx="14">
                  <c:v>93</c:v>
                </c:pt>
                <c:pt idx="15">
                  <c:v>71</c:v>
                </c:pt>
                <c:pt idx="16">
                  <c:v>81</c:v>
                </c:pt>
              </c:numCache>
            </c:numRef>
          </c:val>
          <c:extLst>
            <c:ext xmlns:c16="http://schemas.microsoft.com/office/drawing/2014/chart" uri="{C3380CC4-5D6E-409C-BE32-E72D297353CC}">
              <c16:uniqueId val="{00000000-5FD0-440F-A3E4-749B22715CBB}"/>
            </c:ext>
          </c:extLst>
        </c:ser>
        <c:dLbls>
          <c:showLegendKey val="0"/>
          <c:showVal val="0"/>
          <c:showCatName val="0"/>
          <c:showSerName val="0"/>
          <c:showPercent val="0"/>
          <c:showBubbleSize val="0"/>
        </c:dLbls>
        <c:gapWidth val="219"/>
        <c:overlap val="-27"/>
        <c:axId val="1996838016"/>
        <c:axId val="1996836768"/>
      </c:barChart>
      <c:catAx>
        <c:axId val="19968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36768"/>
        <c:crosses val="autoZero"/>
        <c:auto val="1"/>
        <c:lblAlgn val="ctr"/>
        <c:lblOffset val="100"/>
        <c:noMultiLvlLbl val="0"/>
      </c:catAx>
      <c:valAx>
        <c:axId val="199683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38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Drug Test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GradeBook!$B$4:$B$20</c:f>
              <c:strCache>
                <c:ptCount val="17"/>
                <c:pt idx="0">
                  <c:v>Jon</c:v>
                </c:pt>
                <c:pt idx="1">
                  <c:v>Glenda</c:v>
                </c:pt>
                <c:pt idx="2">
                  <c:v>Ron</c:v>
                </c:pt>
                <c:pt idx="3">
                  <c:v>Wendy</c:v>
                </c:pt>
                <c:pt idx="4">
                  <c:v>Paul </c:v>
                </c:pt>
                <c:pt idx="5">
                  <c:v>Tom</c:v>
                </c:pt>
                <c:pt idx="6">
                  <c:v>Nancy</c:v>
                </c:pt>
                <c:pt idx="7">
                  <c:v>Karen</c:v>
                </c:pt>
                <c:pt idx="8">
                  <c:v>Dennis</c:v>
                </c:pt>
                <c:pt idx="9">
                  <c:v>Sandy</c:v>
                </c:pt>
                <c:pt idx="10">
                  <c:v>Linda</c:v>
                </c:pt>
                <c:pt idx="11">
                  <c:v>Olivia</c:v>
                </c:pt>
                <c:pt idx="12">
                  <c:v>Blessing</c:v>
                </c:pt>
                <c:pt idx="13">
                  <c:v>Chandra</c:v>
                </c:pt>
                <c:pt idx="14">
                  <c:v>Bill</c:v>
                </c:pt>
                <c:pt idx="15">
                  <c:v>Trent</c:v>
                </c:pt>
                <c:pt idx="16">
                  <c:v>Genesis</c:v>
                </c:pt>
              </c:strCache>
            </c:strRef>
          </c:cat>
          <c:val>
            <c:numRef>
              <c:f>GradeBook!$F$4:$F$20</c:f>
              <c:numCache>
                <c:formatCode>General</c:formatCode>
                <c:ptCount val="17"/>
                <c:pt idx="0">
                  <c:v>1</c:v>
                </c:pt>
                <c:pt idx="1">
                  <c:v>1</c:v>
                </c:pt>
                <c:pt idx="2">
                  <c:v>1</c:v>
                </c:pt>
                <c:pt idx="3">
                  <c:v>1</c:v>
                </c:pt>
                <c:pt idx="4">
                  <c:v>1</c:v>
                </c:pt>
                <c:pt idx="5">
                  <c:v>1</c:v>
                </c:pt>
                <c:pt idx="6">
                  <c:v>0</c:v>
                </c:pt>
                <c:pt idx="7">
                  <c:v>1</c:v>
                </c:pt>
                <c:pt idx="8">
                  <c:v>1</c:v>
                </c:pt>
                <c:pt idx="9">
                  <c:v>1</c:v>
                </c:pt>
                <c:pt idx="10">
                  <c:v>0</c:v>
                </c:pt>
                <c:pt idx="11">
                  <c:v>0</c:v>
                </c:pt>
                <c:pt idx="12">
                  <c:v>1</c:v>
                </c:pt>
                <c:pt idx="13">
                  <c:v>1</c:v>
                </c:pt>
                <c:pt idx="14">
                  <c:v>1</c:v>
                </c:pt>
                <c:pt idx="15">
                  <c:v>1</c:v>
                </c:pt>
                <c:pt idx="16">
                  <c:v>1</c:v>
                </c:pt>
              </c:numCache>
            </c:numRef>
          </c:val>
          <c:extLst>
            <c:ext xmlns:c16="http://schemas.microsoft.com/office/drawing/2014/chart" uri="{C3380CC4-5D6E-409C-BE32-E72D297353CC}">
              <c16:uniqueId val="{00000000-2297-462C-9BB7-EFF6A88D1E5E}"/>
            </c:ext>
          </c:extLst>
        </c:ser>
        <c:dLbls>
          <c:showLegendKey val="0"/>
          <c:showVal val="0"/>
          <c:showCatName val="0"/>
          <c:showSerName val="0"/>
          <c:showPercent val="0"/>
          <c:showBubbleSize val="0"/>
        </c:dLbls>
        <c:gapWidth val="219"/>
        <c:overlap val="-27"/>
        <c:axId val="1936793552"/>
        <c:axId val="1936788144"/>
      </c:barChart>
      <c:catAx>
        <c:axId val="193679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788144"/>
        <c:crosses val="autoZero"/>
        <c:auto val="1"/>
        <c:lblAlgn val="ctr"/>
        <c:lblOffset val="100"/>
        <c:noMultiLvlLbl val="0"/>
      </c:catAx>
      <c:valAx>
        <c:axId val="193678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79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Linear</a:t>
            </a:r>
            <a:r>
              <a:rPr lang="en-US" b="1" baseline="0">
                <a:solidFill>
                  <a:sysClr val="windowText" lastClr="000000"/>
                </a:solidFill>
              </a:rPr>
              <a:t> Equation</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LinearEquation_Assignment!$B$3</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LinearEquation_Assignment!$A$4:$A$12</c:f>
              <c:numCache>
                <c:formatCode>General</c:formatCode>
                <c:ptCount val="9"/>
                <c:pt idx="0">
                  <c:v>-4</c:v>
                </c:pt>
                <c:pt idx="1">
                  <c:v>-3</c:v>
                </c:pt>
                <c:pt idx="2">
                  <c:v>-2</c:v>
                </c:pt>
                <c:pt idx="3">
                  <c:v>-1</c:v>
                </c:pt>
                <c:pt idx="4">
                  <c:v>0</c:v>
                </c:pt>
                <c:pt idx="5">
                  <c:v>1</c:v>
                </c:pt>
                <c:pt idx="6">
                  <c:v>2</c:v>
                </c:pt>
                <c:pt idx="7">
                  <c:v>3</c:v>
                </c:pt>
                <c:pt idx="8">
                  <c:v>4</c:v>
                </c:pt>
              </c:numCache>
            </c:numRef>
          </c:xVal>
          <c:yVal>
            <c:numRef>
              <c:f>LinearEquation_Assignment!$B$4:$B$12</c:f>
              <c:numCache>
                <c:formatCode>General</c:formatCode>
                <c:ptCount val="9"/>
                <c:pt idx="0">
                  <c:v>12</c:v>
                </c:pt>
                <c:pt idx="1">
                  <c:v>7</c:v>
                </c:pt>
                <c:pt idx="2">
                  <c:v>4</c:v>
                </c:pt>
                <c:pt idx="3">
                  <c:v>3</c:v>
                </c:pt>
                <c:pt idx="4">
                  <c:v>4</c:v>
                </c:pt>
                <c:pt idx="5">
                  <c:v>7</c:v>
                </c:pt>
                <c:pt idx="6">
                  <c:v>12</c:v>
                </c:pt>
                <c:pt idx="7">
                  <c:v>19</c:v>
                </c:pt>
                <c:pt idx="8">
                  <c:v>28</c:v>
                </c:pt>
              </c:numCache>
            </c:numRef>
          </c:yVal>
          <c:smooth val="0"/>
          <c:extLst>
            <c:ext xmlns:c16="http://schemas.microsoft.com/office/drawing/2014/chart" uri="{C3380CC4-5D6E-409C-BE32-E72D297353CC}">
              <c16:uniqueId val="{00000000-D8B4-45E8-AE02-5F0D1615489C}"/>
            </c:ext>
          </c:extLst>
        </c:ser>
        <c:dLbls>
          <c:showLegendKey val="0"/>
          <c:showVal val="0"/>
          <c:showCatName val="0"/>
          <c:showSerName val="0"/>
          <c:showPercent val="0"/>
          <c:showBubbleSize val="0"/>
        </c:dLbls>
        <c:axId val="1996822208"/>
        <c:axId val="1996831776"/>
      </c:scatterChart>
      <c:valAx>
        <c:axId val="1996822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X-axis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31776"/>
        <c:crosses val="autoZero"/>
        <c:crossBetween val="midCat"/>
      </c:valAx>
      <c:valAx>
        <c:axId val="199683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8222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[Eniola_Seeding_Africa.xlsx]Pv1_Car_Inventory!PivotTable1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baseline="0">
                <a:solidFill>
                  <a:sysClr val="windowText" lastClr="000000"/>
                </a:solidFill>
              </a:rPr>
              <a:t>TOTAL MILES DRIVEN </a:t>
            </a:r>
            <a:endParaRPr lang="en-US" sz="1400">
              <a:solidFill>
                <a:sysClr val="windowText" lastClr="000000"/>
              </a:solidFill>
            </a:endParaRPr>
          </a:p>
        </c:rich>
      </c:tx>
      <c:layout>
        <c:manualLayout>
          <c:xMode val="edge"/>
          <c:yMode val="edge"/>
          <c:x val="0.31633333333333336"/>
          <c:y val="4.99052201808107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Pv1_Car_Inventory!$B$3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Pv1_Car_Inventory!$A$4:$A$15</c:f>
              <c:strCache>
                <c:ptCount val="11"/>
                <c:pt idx="0">
                  <c:v>CAM</c:v>
                </c:pt>
                <c:pt idx="1">
                  <c:v>CAR</c:v>
                </c:pt>
                <c:pt idx="2">
                  <c:v>CIV</c:v>
                </c:pt>
                <c:pt idx="3">
                  <c:v>FCS</c:v>
                </c:pt>
                <c:pt idx="4">
                  <c:v>ODY</c:v>
                </c:pt>
                <c:pt idx="5">
                  <c:v>MTG</c:v>
                </c:pt>
                <c:pt idx="6">
                  <c:v>SLV</c:v>
                </c:pt>
                <c:pt idx="7">
                  <c:v>COR</c:v>
                </c:pt>
                <c:pt idx="8">
                  <c:v>PTC</c:v>
                </c:pt>
                <c:pt idx="9">
                  <c:v>ELA</c:v>
                </c:pt>
                <c:pt idx="10">
                  <c:v>CMR</c:v>
                </c:pt>
              </c:strCache>
            </c:strRef>
          </c:cat>
          <c:val>
            <c:numRef>
              <c:f>Pv1_Car_Inventory!$B$4:$B$15</c:f>
              <c:numCache>
                <c:formatCode>General</c:formatCode>
                <c:ptCount val="11"/>
                <c:pt idx="0">
                  <c:v>432042.7</c:v>
                </c:pt>
                <c:pt idx="1">
                  <c:v>281890.3</c:v>
                </c:pt>
                <c:pt idx="2">
                  <c:v>277252.2</c:v>
                </c:pt>
                <c:pt idx="3">
                  <c:v>244396</c:v>
                </c:pt>
                <c:pt idx="4">
                  <c:v>226115.20000000001</c:v>
                </c:pt>
                <c:pt idx="5">
                  <c:v>204245.4</c:v>
                </c:pt>
                <c:pt idx="6">
                  <c:v>194992.9</c:v>
                </c:pt>
                <c:pt idx="7">
                  <c:v>185070</c:v>
                </c:pt>
                <c:pt idx="8">
                  <c:v>134010.4</c:v>
                </c:pt>
                <c:pt idx="9">
                  <c:v>93796.7</c:v>
                </c:pt>
                <c:pt idx="10">
                  <c:v>62175.5</c:v>
                </c:pt>
              </c:numCache>
            </c:numRef>
          </c:val>
          <c:extLst>
            <c:ext xmlns:c16="http://schemas.microsoft.com/office/drawing/2014/chart" uri="{C3380CC4-5D6E-409C-BE32-E72D297353CC}">
              <c16:uniqueId val="{00000000-8A09-4CE8-AF6E-A60D195A12E8}"/>
            </c:ext>
          </c:extLst>
        </c:ser>
        <c:dLbls>
          <c:showLegendKey val="0"/>
          <c:showVal val="0"/>
          <c:showCatName val="0"/>
          <c:showSerName val="0"/>
          <c:showPercent val="0"/>
          <c:showBubbleSize val="0"/>
        </c:dLbls>
        <c:gapWidth val="150"/>
        <c:shape val="box"/>
        <c:axId val="1042729152"/>
        <c:axId val="1042715008"/>
        <c:axId val="0"/>
      </c:bar3DChart>
      <c:catAx>
        <c:axId val="10427291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MODEL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715008"/>
        <c:crosses val="autoZero"/>
        <c:auto val="1"/>
        <c:lblAlgn val="ctr"/>
        <c:lblOffset val="100"/>
        <c:noMultiLvlLbl val="0"/>
      </c:catAx>
      <c:valAx>
        <c:axId val="1042715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MILES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72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[Eniola_Seeding_Africa.xlsx]Pv1_Car_Inventory!PivotTable2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50"/>
              <a:t>AVERAGE</a:t>
            </a:r>
            <a:r>
              <a:rPr lang="en-US" sz="1050" baseline="0"/>
              <a:t> MILES PER YEAR FOR EACH CAR MANUFACTURER</a:t>
            </a:r>
            <a:endParaRPr lang="en-US" sz="1050"/>
          </a:p>
        </c:rich>
      </c:tx>
      <c:layout>
        <c:manualLayout>
          <c:xMode val="edge"/>
          <c:yMode val="edge"/>
          <c:x val="0.26620122484689418"/>
          <c:y val="2.212744240303295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Pv1_Car_Inventory!$B$20</c:f>
              <c:strCache>
                <c:ptCount val="1"/>
                <c:pt idx="0">
                  <c:v>Total</c:v>
                </c:pt>
              </c:strCache>
            </c:strRef>
          </c:tx>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cat>
            <c:strRef>
              <c:f>Pv1_Car_Inventory!$A$21:$A$27</c:f>
              <c:strCache>
                <c:ptCount val="6"/>
                <c:pt idx="0">
                  <c:v>Chrysler</c:v>
                </c:pt>
                <c:pt idx="1">
                  <c:v>Ford</c:v>
                </c:pt>
                <c:pt idx="2">
                  <c:v>General Number</c:v>
                </c:pt>
                <c:pt idx="3">
                  <c:v>Honda</c:v>
                </c:pt>
                <c:pt idx="4">
                  <c:v>Hyundai</c:v>
                </c:pt>
                <c:pt idx="5">
                  <c:v>Toyota</c:v>
                </c:pt>
              </c:strCache>
            </c:strRef>
          </c:cat>
          <c:val>
            <c:numRef>
              <c:f>Pv1_Car_Inventory!$B$21:$B$27</c:f>
              <c:numCache>
                <c:formatCode>General</c:formatCode>
                <c:ptCount val="6"/>
                <c:pt idx="0">
                  <c:v>2782.1637983603696</c:v>
                </c:pt>
                <c:pt idx="1">
                  <c:v>2151.6308267078239</c:v>
                </c:pt>
                <c:pt idx="2">
                  <c:v>2159.3101080031079</c:v>
                </c:pt>
                <c:pt idx="3">
                  <c:v>2215.3099721982808</c:v>
                </c:pt>
                <c:pt idx="4">
                  <c:v>1831.7755952380951</c:v>
                </c:pt>
                <c:pt idx="5">
                  <c:v>2852.2355399496246</c:v>
                </c:pt>
              </c:numCache>
            </c:numRef>
          </c:val>
          <c:smooth val="0"/>
          <c:extLst>
            <c:ext xmlns:c16="http://schemas.microsoft.com/office/drawing/2014/chart" uri="{C3380CC4-5D6E-409C-BE32-E72D297353CC}">
              <c16:uniqueId val="{00000000-C68A-4137-BB6B-98C08C08B4F1}"/>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88546240"/>
        <c:axId val="488528352"/>
      </c:lineChart>
      <c:catAx>
        <c:axId val="4885462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MAKER(FULL</a:t>
                </a:r>
                <a:r>
                  <a:rPr lang="en-US" baseline="0"/>
                  <a:t> NAME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88528352"/>
        <c:crosses val="autoZero"/>
        <c:auto val="1"/>
        <c:lblAlgn val="ctr"/>
        <c:lblOffset val="100"/>
        <c:noMultiLvlLbl val="0"/>
      </c:catAx>
      <c:valAx>
        <c:axId val="4885283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MILES/YEAR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885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[Eniola_Seeding_Africa.xlsx]Pv1_Car_Inventory!PivotTable3</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b="1">
                <a:solidFill>
                  <a:schemeClr val="accent2"/>
                </a:solidFill>
              </a:rPr>
              <a:t>PERCENTAGE OF CARS UNDER WARRANTY</a:t>
            </a:r>
          </a:p>
        </c:rich>
      </c:tx>
      <c:layout>
        <c:manualLayout>
          <c:xMode val="edge"/>
          <c:yMode val="edge"/>
          <c:x val="0.19830555555555557"/>
          <c:y val="3.138670166229221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Pv1_Car_Inventory!$B$32</c:f>
              <c:strCache>
                <c:ptCount val="1"/>
                <c:pt idx="0">
                  <c:v>Total</c:v>
                </c:pt>
              </c:strCache>
            </c:strRef>
          </c:tx>
          <c:dPt>
            <c:idx val="0"/>
            <c:bubble3D val="0"/>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4CC6-4AD7-9AD8-3CB34E03B701}"/>
              </c:ext>
            </c:extLst>
          </c:dPt>
          <c:dPt>
            <c:idx val="1"/>
            <c:bubble3D val="0"/>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CC6-4AD7-9AD8-3CB34E03B70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Pv1_Car_Inventory!$A$33:$A$35</c:f>
              <c:strCache>
                <c:ptCount val="2"/>
                <c:pt idx="0">
                  <c:v>Covered</c:v>
                </c:pt>
                <c:pt idx="1">
                  <c:v>Not Covered</c:v>
                </c:pt>
              </c:strCache>
            </c:strRef>
          </c:cat>
          <c:val>
            <c:numRef>
              <c:f>Pv1_Car_Inventory!$B$33:$B$35</c:f>
              <c:numCache>
                <c:formatCode>0.00%</c:formatCode>
                <c:ptCount val="2"/>
                <c:pt idx="0">
                  <c:v>0.92307692307692313</c:v>
                </c:pt>
                <c:pt idx="1">
                  <c:v>7.6923076923076927E-2</c:v>
                </c:pt>
              </c:numCache>
            </c:numRef>
          </c:val>
          <c:extLst>
            <c:ext xmlns:c16="http://schemas.microsoft.com/office/drawing/2014/chart" uri="{C3380CC4-5D6E-409C-BE32-E72D297353CC}">
              <c16:uniqueId val="{00000000-4CC6-4AD7-9AD8-3CB34E03B701}"/>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[Eniola_Seeding_Africa.xlsx]Pv2_Car_Inventory!PivotTable4</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t>AVERAGE</a:t>
            </a:r>
            <a:r>
              <a:rPr lang="en-US" b="1" baseline="0"/>
              <a:t> MILES PER YEAR FOR EACH CAR MODEL</a:t>
            </a:r>
            <a:endParaRPr lang="en-US" b="1"/>
          </a:p>
        </c:rich>
      </c:tx>
      <c:layout>
        <c:manualLayout>
          <c:xMode val="edge"/>
          <c:yMode val="edge"/>
          <c:x val="0.28422222222222221"/>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Pv2_Car_Inventory!$B$3</c:f>
              <c:strCache>
                <c:ptCount val="1"/>
                <c:pt idx="0">
                  <c:v>Total</c:v>
                </c:pt>
              </c:strCache>
            </c:strRef>
          </c:tx>
          <c:spPr>
            <a:solidFill>
              <a:schemeClr val="dk1">
                <a:tint val="88500"/>
              </a:schemeClr>
            </a:solidFill>
            <a:ln>
              <a:noFill/>
            </a:ln>
            <a:effectLst/>
            <a:sp3d/>
          </c:spPr>
          <c:invertIfNegative val="0"/>
          <c:cat>
            <c:strRef>
              <c:f>Pv2_Car_Inventory!$A$4:$A$15</c:f>
              <c:strCache>
                <c:ptCount val="11"/>
                <c:pt idx="0">
                  <c:v>CMR</c:v>
                </c:pt>
                <c:pt idx="1">
                  <c:v>ELA</c:v>
                </c:pt>
                <c:pt idx="2">
                  <c:v>FCS</c:v>
                </c:pt>
                <c:pt idx="3">
                  <c:v>CIV</c:v>
                </c:pt>
                <c:pt idx="4">
                  <c:v>MTG</c:v>
                </c:pt>
                <c:pt idx="5">
                  <c:v>ODY</c:v>
                </c:pt>
                <c:pt idx="6">
                  <c:v>PTC</c:v>
                </c:pt>
                <c:pt idx="7">
                  <c:v>COR</c:v>
                </c:pt>
                <c:pt idx="8">
                  <c:v>SLV</c:v>
                </c:pt>
                <c:pt idx="9">
                  <c:v>CAR</c:v>
                </c:pt>
                <c:pt idx="10">
                  <c:v>CAM</c:v>
                </c:pt>
              </c:strCache>
            </c:strRef>
          </c:cat>
          <c:val>
            <c:numRef>
              <c:f>Pv2_Car_Inventory!$B$4:$B$15</c:f>
              <c:numCache>
                <c:formatCode>General</c:formatCode>
                <c:ptCount val="11"/>
                <c:pt idx="0">
                  <c:v>1524.0117715617714</c:v>
                </c:pt>
                <c:pt idx="1">
                  <c:v>1831.7755952380951</c:v>
                </c:pt>
                <c:pt idx="2">
                  <c:v>2060.6185918522265</c:v>
                </c:pt>
                <c:pt idx="3">
                  <c:v>2148.6941143380427</c:v>
                </c:pt>
                <c:pt idx="4">
                  <c:v>2297.2504024767804</c:v>
                </c:pt>
                <c:pt idx="5">
                  <c:v>2308.5721732026145</c:v>
                </c:pt>
                <c:pt idx="6">
                  <c:v>2455.8708994708995</c:v>
                </c:pt>
                <c:pt idx="7">
                  <c:v>2503.6021891152327</c:v>
                </c:pt>
                <c:pt idx="8">
                  <c:v>2794.6084444444446</c:v>
                </c:pt>
                <c:pt idx="9">
                  <c:v>3026.8834725274723</c:v>
                </c:pt>
                <c:pt idx="10">
                  <c:v>3084.6577738392202</c:v>
                </c:pt>
              </c:numCache>
            </c:numRef>
          </c:val>
          <c:extLst>
            <c:ext xmlns:c16="http://schemas.microsoft.com/office/drawing/2014/chart" uri="{C3380CC4-5D6E-409C-BE32-E72D297353CC}">
              <c16:uniqueId val="{00000000-C53B-4934-86AD-6C397C7C68B6}"/>
            </c:ext>
          </c:extLst>
        </c:ser>
        <c:dLbls>
          <c:showLegendKey val="0"/>
          <c:showVal val="0"/>
          <c:showCatName val="0"/>
          <c:showSerName val="0"/>
          <c:showPercent val="0"/>
          <c:showBubbleSize val="0"/>
        </c:dLbls>
        <c:gapWidth val="150"/>
        <c:shape val="box"/>
        <c:axId val="1136951951"/>
        <c:axId val="1136949039"/>
        <c:axId val="0"/>
      </c:bar3DChart>
      <c:catAx>
        <c:axId val="1136951951"/>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36949039"/>
        <c:crosses val="autoZero"/>
        <c:auto val="1"/>
        <c:lblAlgn val="ctr"/>
        <c:lblOffset val="100"/>
        <c:noMultiLvlLbl val="0"/>
      </c:catAx>
      <c:valAx>
        <c:axId val="1136949039"/>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3695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[Eniola_Seeding_Africa.xlsx]Pv2_Car_Inventory!PivotTable5</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solidFill>
                  <a:schemeClr val="accent3">
                    <a:lumMod val="50000"/>
                  </a:schemeClr>
                </a:solidFill>
              </a:rPr>
              <a:t>DISTRIBUTION</a:t>
            </a:r>
            <a:r>
              <a:rPr lang="en-US" b="1" baseline="0">
                <a:solidFill>
                  <a:schemeClr val="accent3">
                    <a:lumMod val="50000"/>
                  </a:schemeClr>
                </a:solidFill>
              </a:rPr>
              <a:t> OF CARS BY COLOR</a:t>
            </a:r>
            <a:endParaRPr lang="en-US" b="1">
              <a:solidFill>
                <a:schemeClr val="accent3">
                  <a:lumMod val="50000"/>
                </a:schemeClr>
              </a:solidFill>
            </a:endParaRPr>
          </a:p>
        </c:rich>
      </c:tx>
      <c:layout>
        <c:manualLayout>
          <c:xMode val="edge"/>
          <c:yMode val="edge"/>
          <c:x val="0.2356388888888889"/>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tx2">
              <a:lumMod val="60000"/>
              <a:lumOff val="40000"/>
            </a:schemeClr>
          </a:solidFill>
          <a:ln w="19050">
            <a:solidFill>
              <a:schemeClr val="lt1"/>
            </a:solidFill>
          </a:ln>
          <a:effectLst/>
        </c:spPr>
      </c:pivotFmt>
      <c:pivotFmt>
        <c:idx val="4"/>
        <c:spPr>
          <a:solidFill>
            <a:schemeClr val="tx1">
              <a:lumMod val="75000"/>
              <a:lumOff val="25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s>
    <c:plotArea>
      <c:layout>
        <c:manualLayout>
          <c:layoutTarget val="inner"/>
          <c:xMode val="edge"/>
          <c:yMode val="edge"/>
          <c:x val="0.2305181539807524"/>
          <c:y val="0.16143299795858848"/>
          <c:w val="0.47258464566929131"/>
          <c:h val="0.78764107611548562"/>
        </c:manualLayout>
      </c:layout>
      <c:pieChart>
        <c:varyColors val="1"/>
        <c:ser>
          <c:idx val="0"/>
          <c:order val="0"/>
          <c:tx>
            <c:strRef>
              <c:f>Pv2_Car_Inventory!$B$20</c:f>
              <c:strCache>
                <c:ptCount val="1"/>
                <c:pt idx="0">
                  <c:v>Total</c:v>
                </c:pt>
              </c:strCache>
            </c:strRef>
          </c:tx>
          <c:dPt>
            <c:idx val="0"/>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5-63CB-4D1B-959A-D3FD0613F962}"/>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4-63CB-4D1B-959A-D3FD0613F9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0DE-4285-9AAE-47836F09F986}"/>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3-63CB-4D1B-959A-D3FD0613F962}"/>
              </c:ext>
            </c:extLst>
          </c:dPt>
          <c:dPt>
            <c:idx val="4"/>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63CB-4D1B-959A-D3FD0613F962}"/>
              </c:ext>
            </c:extLst>
          </c:dPt>
          <c:dLbls>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5-63CB-4D1B-959A-D3FD0613F962}"/>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Pv2_Car_Inventory!$A$21:$A$26</c:f>
              <c:strCache>
                <c:ptCount val="5"/>
                <c:pt idx="0">
                  <c:v>Black</c:v>
                </c:pt>
                <c:pt idx="1">
                  <c:v>Blue</c:v>
                </c:pt>
                <c:pt idx="2">
                  <c:v>Green</c:v>
                </c:pt>
                <c:pt idx="3">
                  <c:v>Red</c:v>
                </c:pt>
                <c:pt idx="4">
                  <c:v>White</c:v>
                </c:pt>
              </c:strCache>
            </c:strRef>
          </c:cat>
          <c:val>
            <c:numRef>
              <c:f>Pv2_Car_Inventory!$B$21:$B$26</c:f>
              <c:numCache>
                <c:formatCode>General</c:formatCode>
                <c:ptCount val="5"/>
                <c:pt idx="0">
                  <c:v>24</c:v>
                </c:pt>
                <c:pt idx="1">
                  <c:v>8</c:v>
                </c:pt>
                <c:pt idx="2">
                  <c:v>7</c:v>
                </c:pt>
                <c:pt idx="3">
                  <c:v>2</c:v>
                </c:pt>
                <c:pt idx="4">
                  <c:v>11</c:v>
                </c:pt>
              </c:numCache>
            </c:numRef>
          </c:val>
          <c:extLst>
            <c:ext xmlns:c16="http://schemas.microsoft.com/office/drawing/2014/chart" uri="{C3380CC4-5D6E-409C-BE32-E72D297353CC}">
              <c16:uniqueId val="{00000000-63CB-4D1B-959A-D3FD0613F9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25400" cap="flat" cmpd="sng" algn="ctr">
      <a:solidFill>
        <a:schemeClr val="accent3"/>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[Eniola_Seeding_Africa.xlsx]Pv1_Car_Inventory!PivotTable1</c:name>
    <c:fmtId val="2"/>
  </c:pivotSource>
  <c:chart>
    <c:title>
      <c:tx>
        <c:rich>
          <a:bodyPr rot="0" spcFirstLastPara="1" vertOverflow="ellipsis" vert="horz" wrap="square" anchor="ctr" anchorCtr="1"/>
          <a:lstStyle/>
          <a:p>
            <a:pPr>
              <a:defRPr sz="1600" b="0" i="0" u="none" strike="noStrike" kern="1200" cap="none" spc="0" baseline="0">
                <a:ln w="0"/>
                <a:solidFill>
                  <a:schemeClr val="accent5"/>
                </a:solidFill>
                <a:effectLst>
                  <a:outerShdw blurRad="38100" dist="25400" dir="5400000" algn="ctr" rotWithShape="0">
                    <a:srgbClr val="6E747A">
                      <a:alpha val="43000"/>
                    </a:srgbClr>
                  </a:outerShdw>
                </a:effectLst>
                <a:latin typeface="+mn-lt"/>
                <a:ea typeface="+mn-ea"/>
                <a:cs typeface="+mn-cs"/>
              </a:defRPr>
            </a:pPr>
            <a:r>
              <a:rPr lang="en-US" sz="1400" b="0" cap="none" spc="0" baseline="0">
                <a:ln w="0"/>
                <a:solidFill>
                  <a:schemeClr val="accent5"/>
                </a:solidFill>
                <a:effectLst>
                  <a:outerShdw blurRad="38100" dist="25400" dir="5400000" algn="ctr" rotWithShape="0">
                    <a:srgbClr val="6E747A">
                      <a:alpha val="43000"/>
                    </a:srgbClr>
                  </a:outerShdw>
                </a:effectLst>
              </a:rPr>
              <a:t>TOTAL MILES PER MODEL </a:t>
            </a:r>
            <a:endParaRPr lang="en-US" sz="1400" b="0" cap="none" spc="0">
              <a:ln w="0"/>
              <a:solidFill>
                <a:schemeClr val="accent5"/>
              </a:solidFill>
              <a:effectLst>
                <a:outerShdw blurRad="38100" dist="25400" dir="5400000" algn="ctr" rotWithShape="0">
                  <a:srgbClr val="6E747A">
                    <a:alpha val="43000"/>
                  </a:srgbClr>
                </a:outerShdw>
              </a:effectLst>
            </a:endParaRPr>
          </a:p>
        </c:rich>
      </c:tx>
      <c:layout>
        <c:manualLayout>
          <c:xMode val="edge"/>
          <c:yMode val="edge"/>
          <c:x val="0.31633333333333336"/>
          <c:y val="4.9905220180810735E-2"/>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accent5"/>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510166265896544"/>
          <c:y val="0.27080727409073868"/>
          <c:w val="0.78216024977496956"/>
          <c:h val="0.52936970378702664"/>
        </c:manualLayout>
      </c:layout>
      <c:bar3DChart>
        <c:barDir val="col"/>
        <c:grouping val="stacked"/>
        <c:varyColors val="0"/>
        <c:ser>
          <c:idx val="0"/>
          <c:order val="0"/>
          <c:tx>
            <c:strRef>
              <c:f>Pv1_Car_Inventory!$B$3</c:f>
              <c:strCache>
                <c:ptCount val="1"/>
                <c:pt idx="0">
                  <c:v>Total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Pv1_Car_Inventory!$A$4:$A$15</c:f>
              <c:strCache>
                <c:ptCount val="11"/>
                <c:pt idx="0">
                  <c:v>CAM</c:v>
                </c:pt>
                <c:pt idx="1">
                  <c:v>CAR</c:v>
                </c:pt>
                <c:pt idx="2">
                  <c:v>CIV</c:v>
                </c:pt>
                <c:pt idx="3">
                  <c:v>FCS</c:v>
                </c:pt>
                <c:pt idx="4">
                  <c:v>ODY</c:v>
                </c:pt>
                <c:pt idx="5">
                  <c:v>MTG</c:v>
                </c:pt>
                <c:pt idx="6">
                  <c:v>SLV</c:v>
                </c:pt>
                <c:pt idx="7">
                  <c:v>COR</c:v>
                </c:pt>
                <c:pt idx="8">
                  <c:v>PTC</c:v>
                </c:pt>
                <c:pt idx="9">
                  <c:v>ELA</c:v>
                </c:pt>
                <c:pt idx="10">
                  <c:v>CMR</c:v>
                </c:pt>
              </c:strCache>
            </c:strRef>
          </c:cat>
          <c:val>
            <c:numRef>
              <c:f>Pv1_Car_Inventory!$B$4:$B$15</c:f>
              <c:numCache>
                <c:formatCode>General</c:formatCode>
                <c:ptCount val="11"/>
                <c:pt idx="0">
                  <c:v>432042.7</c:v>
                </c:pt>
                <c:pt idx="1">
                  <c:v>281890.3</c:v>
                </c:pt>
                <c:pt idx="2">
                  <c:v>277252.2</c:v>
                </c:pt>
                <c:pt idx="3">
                  <c:v>244396</c:v>
                </c:pt>
                <c:pt idx="4">
                  <c:v>226115.20000000001</c:v>
                </c:pt>
                <c:pt idx="5">
                  <c:v>204245.4</c:v>
                </c:pt>
                <c:pt idx="6">
                  <c:v>194992.9</c:v>
                </c:pt>
                <c:pt idx="7">
                  <c:v>185070</c:v>
                </c:pt>
                <c:pt idx="8">
                  <c:v>134010.4</c:v>
                </c:pt>
                <c:pt idx="9">
                  <c:v>93796.7</c:v>
                </c:pt>
                <c:pt idx="10">
                  <c:v>62175.5</c:v>
                </c:pt>
              </c:numCache>
            </c:numRef>
          </c:val>
          <c:extLst>
            <c:ext xmlns:c16="http://schemas.microsoft.com/office/drawing/2014/chart" uri="{C3380CC4-5D6E-409C-BE32-E72D297353CC}">
              <c16:uniqueId val="{00000000-81E9-4369-8A11-2CB8FB7082BA}"/>
            </c:ext>
          </c:extLst>
        </c:ser>
        <c:dLbls>
          <c:showLegendKey val="0"/>
          <c:showVal val="0"/>
          <c:showCatName val="0"/>
          <c:showSerName val="0"/>
          <c:showPercent val="0"/>
          <c:showBubbleSize val="0"/>
        </c:dLbls>
        <c:gapWidth val="150"/>
        <c:shape val="box"/>
        <c:axId val="1042729152"/>
        <c:axId val="1042715008"/>
        <c:axId val="0"/>
      </c:bar3DChart>
      <c:catAx>
        <c:axId val="10427291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r>
                  <a:rPr lang="en-US" b="1">
                    <a:solidFill>
                      <a:schemeClr val="accent5"/>
                    </a:solidFill>
                  </a:rPr>
                  <a:t>MODEL</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715008"/>
        <c:crosses val="autoZero"/>
        <c:auto val="1"/>
        <c:lblAlgn val="ctr"/>
        <c:lblOffset val="100"/>
        <c:noMultiLvlLbl val="0"/>
      </c:catAx>
      <c:valAx>
        <c:axId val="1042715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accent5"/>
                    </a:solidFill>
                    <a:latin typeface="+mn-lt"/>
                    <a:ea typeface="+mn-ea"/>
                    <a:cs typeface="+mn-cs"/>
                  </a:defRPr>
                </a:pPr>
                <a:r>
                  <a:rPr lang="en-US" b="1">
                    <a:solidFill>
                      <a:schemeClr val="accent5"/>
                    </a:solidFill>
                  </a:rPr>
                  <a:t>MILES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accent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72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[Eniola_Seeding_Africa.xlsx]Pv1_Car_Inventory!PivotTable2</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050"/>
              <a:t>AVERAGE</a:t>
            </a:r>
            <a:r>
              <a:rPr lang="en-US" sz="1050" baseline="0"/>
              <a:t> MILES PER YEAR FOR EACH CAR MANUFACTURER</a:t>
            </a:r>
            <a:endParaRPr lang="en-US" sz="1050"/>
          </a:p>
        </c:rich>
      </c:tx>
      <c:layout>
        <c:manualLayout>
          <c:xMode val="edge"/>
          <c:yMode val="edge"/>
          <c:x val="0.29893935133108362"/>
          <c:y val="2.212761335867499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4"/>
            </a:fgClr>
            <a:bgClr>
              <a:schemeClr val="lt1"/>
            </a:bgClr>
          </a:pattFill>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4"/>
            </a:fgClr>
            <a:bgClr>
              <a:schemeClr val="lt1"/>
            </a:bgClr>
          </a:pattFill>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Pv1_Car_Inventory!$B$20</c:f>
              <c:strCache>
                <c:ptCount val="1"/>
                <c:pt idx="0">
                  <c:v>Total</c:v>
                </c:pt>
              </c:strCache>
            </c:strRef>
          </c:tx>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cat>
            <c:strRef>
              <c:f>Pv1_Car_Inventory!$A$21:$A$27</c:f>
              <c:strCache>
                <c:ptCount val="6"/>
                <c:pt idx="0">
                  <c:v>Chrysler</c:v>
                </c:pt>
                <c:pt idx="1">
                  <c:v>Ford</c:v>
                </c:pt>
                <c:pt idx="2">
                  <c:v>General Number</c:v>
                </c:pt>
                <c:pt idx="3">
                  <c:v>Honda</c:v>
                </c:pt>
                <c:pt idx="4">
                  <c:v>Hyundai</c:v>
                </c:pt>
                <c:pt idx="5">
                  <c:v>Toyota</c:v>
                </c:pt>
              </c:strCache>
            </c:strRef>
          </c:cat>
          <c:val>
            <c:numRef>
              <c:f>Pv1_Car_Inventory!$B$21:$B$27</c:f>
              <c:numCache>
                <c:formatCode>General</c:formatCode>
                <c:ptCount val="6"/>
                <c:pt idx="0">
                  <c:v>2782.1637983603696</c:v>
                </c:pt>
                <c:pt idx="1">
                  <c:v>2151.6308267078239</c:v>
                </c:pt>
                <c:pt idx="2">
                  <c:v>2159.3101080031079</c:v>
                </c:pt>
                <c:pt idx="3">
                  <c:v>2215.3099721982808</c:v>
                </c:pt>
                <c:pt idx="4">
                  <c:v>1831.7755952380951</c:v>
                </c:pt>
                <c:pt idx="5">
                  <c:v>2852.2355399496246</c:v>
                </c:pt>
              </c:numCache>
            </c:numRef>
          </c:val>
          <c:smooth val="0"/>
          <c:extLst>
            <c:ext xmlns:c16="http://schemas.microsoft.com/office/drawing/2014/chart" uri="{C3380CC4-5D6E-409C-BE32-E72D297353CC}">
              <c16:uniqueId val="{00000000-FA5A-403B-B705-25393989F7A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88546240"/>
        <c:axId val="488528352"/>
      </c:lineChart>
      <c:catAx>
        <c:axId val="4885462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MAKER(FULL</a:t>
                </a:r>
                <a:r>
                  <a:rPr lang="en-US" baseline="0"/>
                  <a:t> NAME)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88528352"/>
        <c:crosses val="autoZero"/>
        <c:auto val="1"/>
        <c:lblAlgn val="ctr"/>
        <c:lblOffset val="100"/>
        <c:noMultiLvlLbl val="0"/>
      </c:catAx>
      <c:valAx>
        <c:axId val="4885283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MILES/YEAR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8854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[Eniola_Seeding_Africa.xlsx]Pv1_Car_Inventory!PivotTable3</c:name>
    <c:fmtId val="2"/>
  </c:pivotSource>
  <c:chart>
    <c:title>
      <c:tx>
        <c:rich>
          <a:bodyPr rot="0" spcFirstLastPara="1" vertOverflow="ellipsis" vert="horz" wrap="square" anchor="ctr" anchorCtr="1"/>
          <a:lstStyle/>
          <a:p>
            <a:pPr>
              <a:defRPr sz="1600" b="1" i="0" u="none" strike="noStrike" kern="1200" cap="all" baseline="0">
                <a:solidFill>
                  <a:schemeClr val="accent2"/>
                </a:solidFill>
                <a:latin typeface="+mn-lt"/>
                <a:ea typeface="+mn-ea"/>
                <a:cs typeface="+mn-cs"/>
              </a:defRPr>
            </a:pPr>
            <a:r>
              <a:rPr lang="en-US">
                <a:solidFill>
                  <a:schemeClr val="accent2"/>
                </a:solidFill>
              </a:rPr>
              <a:t>PERCENTAGE OF CARS UNDER WARRANTY</a:t>
            </a:r>
          </a:p>
        </c:rich>
      </c:tx>
      <c:layout>
        <c:manualLayout>
          <c:xMode val="edge"/>
          <c:yMode val="edge"/>
          <c:x val="0.19830555555555557"/>
          <c:y val="3.138670166229221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accent2"/>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hade val="76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tint val="77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Pv1_Car_Inventory!$B$32</c:f>
              <c:strCache>
                <c:ptCount val="1"/>
                <c:pt idx="0">
                  <c:v>Total</c:v>
                </c:pt>
              </c:strCache>
            </c:strRef>
          </c:tx>
          <c:dPt>
            <c:idx val="0"/>
            <c:bubble3D val="0"/>
            <c:spPr>
              <a:solidFill>
                <a:schemeClr val="accent2">
                  <a:shade val="76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605-414F-9DAC-AD588852F8E3}"/>
              </c:ext>
            </c:extLst>
          </c:dPt>
          <c:dPt>
            <c:idx val="1"/>
            <c:bubble3D val="0"/>
            <c:spPr>
              <a:solidFill>
                <a:schemeClr val="accent2">
                  <a:tint val="7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605-414F-9DAC-AD588852F8E3}"/>
              </c:ext>
            </c:extLst>
          </c:dPt>
          <c:dLbls>
            <c:dLbl>
              <c:idx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B605-414F-9DAC-AD588852F8E3}"/>
                </c:ext>
              </c:extLst>
            </c:dLbl>
            <c:dLbl>
              <c:idx val="1"/>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B605-414F-9DAC-AD588852F8E3}"/>
                </c:ext>
              </c:extLst>
            </c:dLbl>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Pv1_Car_Inventory!$A$33:$A$35</c:f>
              <c:strCache>
                <c:ptCount val="2"/>
                <c:pt idx="0">
                  <c:v>Covered</c:v>
                </c:pt>
                <c:pt idx="1">
                  <c:v>Not Covered</c:v>
                </c:pt>
              </c:strCache>
            </c:strRef>
          </c:cat>
          <c:val>
            <c:numRef>
              <c:f>Pv1_Car_Inventory!$B$33:$B$35</c:f>
              <c:numCache>
                <c:formatCode>0.00%</c:formatCode>
                <c:ptCount val="2"/>
                <c:pt idx="0">
                  <c:v>0.92307692307692313</c:v>
                </c:pt>
                <c:pt idx="1">
                  <c:v>7.6923076923076927E-2</c:v>
                </c:pt>
              </c:numCache>
            </c:numRef>
          </c:val>
          <c:extLst>
            <c:ext xmlns:c16="http://schemas.microsoft.com/office/drawing/2014/chart" uri="{C3380CC4-5D6E-409C-BE32-E72D297353CC}">
              <c16:uniqueId val="{00000004-B605-414F-9DAC-AD588852F8E3}"/>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2"/>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[Eniola_Seeding_Africa.xlsx]Pv2_Car_Inventory!PivotTable4</c:name>
    <c:fmtId val="2"/>
  </c:pivotSource>
  <c:chart>
    <c:title>
      <c:tx>
        <c:rich>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r>
              <a:rPr lang="en-US" sz="1200" b="1"/>
              <a:t>AVERAGE</a:t>
            </a:r>
            <a:r>
              <a:rPr lang="en-US" sz="1200" b="1" baseline="0"/>
              <a:t> MILES PER YEAR FOR EACH CAR </a:t>
            </a:r>
          </a:p>
          <a:p>
            <a:pPr algn="ctr">
              <a:defRPr/>
            </a:pPr>
            <a:r>
              <a:rPr lang="en-US" sz="1200" b="1" baseline="0"/>
              <a:t>MODEL</a:t>
            </a:r>
            <a:endParaRPr lang="en-US" sz="1200" b="1"/>
          </a:p>
        </c:rich>
      </c:tx>
      <c:layout>
        <c:manualLayout>
          <c:xMode val="edge"/>
          <c:yMode val="edge"/>
          <c:x val="0.28422222222222221"/>
          <c:y val="2.212744240303295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dk1">
              <a:tint val="88500"/>
            </a:schemeClr>
          </a:solidFill>
          <a:ln>
            <a:noFill/>
          </a:ln>
          <a:effectLst/>
          <a:sp3d/>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Pv2_Car_Inventory!$B$3</c:f>
              <c:strCache>
                <c:ptCount val="1"/>
                <c:pt idx="0">
                  <c:v>Total</c:v>
                </c:pt>
              </c:strCache>
            </c:strRef>
          </c:tx>
          <c:spPr>
            <a:solidFill>
              <a:schemeClr val="dk1">
                <a:tint val="88500"/>
              </a:schemeClr>
            </a:solidFill>
            <a:ln>
              <a:noFill/>
            </a:ln>
            <a:effectLst/>
            <a:sp3d/>
          </c:spPr>
          <c:invertIfNegative val="0"/>
          <c:cat>
            <c:strRef>
              <c:f>Pv2_Car_Inventory!$A$4:$A$15</c:f>
              <c:strCache>
                <c:ptCount val="11"/>
                <c:pt idx="0">
                  <c:v>CMR</c:v>
                </c:pt>
                <c:pt idx="1">
                  <c:v>ELA</c:v>
                </c:pt>
                <c:pt idx="2">
                  <c:v>FCS</c:v>
                </c:pt>
                <c:pt idx="3">
                  <c:v>CIV</c:v>
                </c:pt>
                <c:pt idx="4">
                  <c:v>MTG</c:v>
                </c:pt>
                <c:pt idx="5">
                  <c:v>ODY</c:v>
                </c:pt>
                <c:pt idx="6">
                  <c:v>PTC</c:v>
                </c:pt>
                <c:pt idx="7">
                  <c:v>COR</c:v>
                </c:pt>
                <c:pt idx="8">
                  <c:v>SLV</c:v>
                </c:pt>
                <c:pt idx="9">
                  <c:v>CAR</c:v>
                </c:pt>
                <c:pt idx="10">
                  <c:v>CAM</c:v>
                </c:pt>
              </c:strCache>
            </c:strRef>
          </c:cat>
          <c:val>
            <c:numRef>
              <c:f>Pv2_Car_Inventory!$B$4:$B$15</c:f>
              <c:numCache>
                <c:formatCode>General</c:formatCode>
                <c:ptCount val="11"/>
                <c:pt idx="0">
                  <c:v>1524.0117715617714</c:v>
                </c:pt>
                <c:pt idx="1">
                  <c:v>1831.7755952380951</c:v>
                </c:pt>
                <c:pt idx="2">
                  <c:v>2060.6185918522265</c:v>
                </c:pt>
                <c:pt idx="3">
                  <c:v>2148.6941143380427</c:v>
                </c:pt>
                <c:pt idx="4">
                  <c:v>2297.2504024767804</c:v>
                </c:pt>
                <c:pt idx="5">
                  <c:v>2308.5721732026145</c:v>
                </c:pt>
                <c:pt idx="6">
                  <c:v>2455.8708994708995</c:v>
                </c:pt>
                <c:pt idx="7">
                  <c:v>2503.6021891152327</c:v>
                </c:pt>
                <c:pt idx="8">
                  <c:v>2794.6084444444446</c:v>
                </c:pt>
                <c:pt idx="9">
                  <c:v>3026.8834725274723</c:v>
                </c:pt>
                <c:pt idx="10">
                  <c:v>3084.6577738392202</c:v>
                </c:pt>
              </c:numCache>
            </c:numRef>
          </c:val>
          <c:extLst>
            <c:ext xmlns:c16="http://schemas.microsoft.com/office/drawing/2014/chart" uri="{C3380CC4-5D6E-409C-BE32-E72D297353CC}">
              <c16:uniqueId val="{00000000-5432-4D01-A562-E22AD43F7A30}"/>
            </c:ext>
          </c:extLst>
        </c:ser>
        <c:dLbls>
          <c:showLegendKey val="0"/>
          <c:showVal val="0"/>
          <c:showCatName val="0"/>
          <c:showSerName val="0"/>
          <c:showPercent val="0"/>
          <c:showBubbleSize val="0"/>
        </c:dLbls>
        <c:gapWidth val="150"/>
        <c:shape val="box"/>
        <c:axId val="1136951951"/>
        <c:axId val="1136949039"/>
        <c:axId val="0"/>
      </c:bar3DChart>
      <c:catAx>
        <c:axId val="1136951951"/>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36949039"/>
        <c:crosses val="autoZero"/>
        <c:auto val="1"/>
        <c:lblAlgn val="ctr"/>
        <c:lblOffset val="100"/>
        <c:noMultiLvlLbl val="0"/>
      </c:catAx>
      <c:valAx>
        <c:axId val="1136949039"/>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3695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[Eniola_Seeding_Africa.xlsx]Pv2_Car_Inventory!PivotTable5</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1">
                <a:solidFill>
                  <a:schemeClr val="accent3">
                    <a:lumMod val="50000"/>
                  </a:schemeClr>
                </a:solidFill>
              </a:rPr>
              <a:t>DISTRIBUTION</a:t>
            </a:r>
            <a:r>
              <a:rPr lang="en-US" b="1" baseline="0">
                <a:solidFill>
                  <a:schemeClr val="accent3">
                    <a:lumMod val="50000"/>
                  </a:schemeClr>
                </a:solidFill>
              </a:rPr>
              <a:t> OF CARS BY COLOR</a:t>
            </a:r>
            <a:endParaRPr lang="en-US" b="1">
              <a:solidFill>
                <a:schemeClr val="accent3">
                  <a:lumMod val="50000"/>
                </a:schemeClr>
              </a:solidFill>
            </a:endParaRPr>
          </a:p>
        </c:rich>
      </c:tx>
      <c:layout>
        <c:manualLayout>
          <c:xMode val="edge"/>
          <c:yMode val="edge"/>
          <c:x val="0.2356388888888889"/>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tx2">
              <a:lumMod val="60000"/>
              <a:lumOff val="40000"/>
            </a:schemeClr>
          </a:solidFill>
          <a:ln w="19050">
            <a:solidFill>
              <a:schemeClr val="lt1"/>
            </a:solidFill>
          </a:ln>
          <a:effectLst/>
        </c:spPr>
      </c:pivotFmt>
      <c:pivotFmt>
        <c:idx val="4"/>
        <c:spPr>
          <a:solidFill>
            <a:schemeClr val="tx1">
              <a:lumMod val="75000"/>
              <a:lumOff val="25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75000"/>
              <a:lumOff val="25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FF0000"/>
          </a:solidFill>
          <a:ln w="19050">
            <a:solidFill>
              <a:schemeClr val="lt1"/>
            </a:solidFill>
          </a:ln>
          <a:effectLst/>
        </c:spPr>
      </c:pivotFmt>
      <c:pivotFmt>
        <c:idx val="10"/>
        <c:spPr>
          <a:solidFill>
            <a:schemeClr val="bg1">
              <a:lumMod val="95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60000"/>
              <a:lumOff val="40000"/>
            </a:schemeClr>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rgbClr val="FF0000"/>
          </a:solidFill>
          <a:ln w="19050">
            <a:solidFill>
              <a:schemeClr val="lt1"/>
            </a:solidFill>
          </a:ln>
          <a:effectLst/>
        </c:spPr>
      </c:pivotFmt>
      <c:pivotFmt>
        <c:idx val="16"/>
        <c:spPr>
          <a:solidFill>
            <a:schemeClr val="bg1">
              <a:lumMod val="95000"/>
            </a:schemeClr>
          </a:solidFill>
          <a:ln w="19050">
            <a:solidFill>
              <a:schemeClr val="lt1"/>
            </a:solidFill>
          </a:ln>
          <a:effectLst/>
        </c:spPr>
      </c:pivotFmt>
    </c:pivotFmts>
    <c:plotArea>
      <c:layout>
        <c:manualLayout>
          <c:layoutTarget val="inner"/>
          <c:xMode val="edge"/>
          <c:yMode val="edge"/>
          <c:x val="0.2305181539807524"/>
          <c:y val="0.16143299795858848"/>
          <c:w val="0.47258464566929131"/>
          <c:h val="0.78764107611548562"/>
        </c:manualLayout>
      </c:layout>
      <c:pieChart>
        <c:varyColors val="1"/>
        <c:ser>
          <c:idx val="0"/>
          <c:order val="0"/>
          <c:tx>
            <c:strRef>
              <c:f>Pv2_Car_Inventory!$B$20</c:f>
              <c:strCache>
                <c:ptCount val="1"/>
                <c:pt idx="0">
                  <c:v>Total</c:v>
                </c:pt>
              </c:strCache>
            </c:strRef>
          </c:tx>
          <c:dPt>
            <c:idx val="0"/>
            <c:bubble3D val="0"/>
            <c:spPr>
              <a:solidFill>
                <a:schemeClr val="tx1">
                  <a:lumMod val="75000"/>
                  <a:lumOff val="25000"/>
                </a:schemeClr>
              </a:solidFill>
              <a:ln w="19050">
                <a:solidFill>
                  <a:schemeClr val="lt1"/>
                </a:solidFill>
              </a:ln>
              <a:effectLst/>
            </c:spPr>
            <c:extLst>
              <c:ext xmlns:c16="http://schemas.microsoft.com/office/drawing/2014/chart" uri="{C3380CC4-5D6E-409C-BE32-E72D297353CC}">
                <c16:uniqueId val="{00000001-1DA7-4C1A-8E9C-3991F3449454}"/>
              </c:ext>
            </c:extLst>
          </c:dPt>
          <c:dPt>
            <c:idx val="1"/>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3-1DA7-4C1A-8E9C-3991F34494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A7-4C1A-8E9C-3991F3449454}"/>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1DA7-4C1A-8E9C-3991F3449454}"/>
              </c:ext>
            </c:extLst>
          </c:dPt>
          <c:dPt>
            <c:idx val="4"/>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9-1DA7-4C1A-8E9C-3991F3449454}"/>
              </c:ext>
            </c:extLst>
          </c:dPt>
          <c:dLbls>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1DA7-4C1A-8E9C-3991F3449454}"/>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Pv2_Car_Inventory!$A$21:$A$26</c:f>
              <c:strCache>
                <c:ptCount val="5"/>
                <c:pt idx="0">
                  <c:v>Black</c:v>
                </c:pt>
                <c:pt idx="1">
                  <c:v>Blue</c:v>
                </c:pt>
                <c:pt idx="2">
                  <c:v>Green</c:v>
                </c:pt>
                <c:pt idx="3">
                  <c:v>Red</c:v>
                </c:pt>
                <c:pt idx="4">
                  <c:v>White</c:v>
                </c:pt>
              </c:strCache>
            </c:strRef>
          </c:cat>
          <c:val>
            <c:numRef>
              <c:f>Pv2_Car_Inventory!$B$21:$B$26</c:f>
              <c:numCache>
                <c:formatCode>General</c:formatCode>
                <c:ptCount val="5"/>
                <c:pt idx="0">
                  <c:v>24</c:v>
                </c:pt>
                <c:pt idx="1">
                  <c:v>8</c:v>
                </c:pt>
                <c:pt idx="2">
                  <c:v>7</c:v>
                </c:pt>
                <c:pt idx="3">
                  <c:v>2</c:v>
                </c:pt>
                <c:pt idx="4">
                  <c:v>11</c:v>
                </c:pt>
              </c:numCache>
            </c:numRef>
          </c:val>
          <c:extLst>
            <c:ext xmlns:c16="http://schemas.microsoft.com/office/drawing/2014/chart" uri="{C3380CC4-5D6E-409C-BE32-E72D297353CC}">
              <c16:uniqueId val="{0000000A-1DA7-4C1A-8E9C-3991F34494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25400" cap="flat" cmpd="sng" algn="ctr">
      <a:solidFill>
        <a:schemeClr val="accent3"/>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[Eniola_Seeding_Africa.xlsx]Pv3_SalesRecord!PivotTable7</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TREND OF PROFIT</a:t>
            </a:r>
          </a:p>
        </c:rich>
      </c:tx>
      <c:layout>
        <c:manualLayout>
          <c:xMode val="edge"/>
          <c:yMode val="edge"/>
          <c:x val="0.33102777777777775"/>
          <c:y val="4.0645960921551476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Pv3_SalesRecord!$B$3</c:f>
              <c:strCache>
                <c:ptCount val="1"/>
                <c:pt idx="0">
                  <c:v>Total</c:v>
                </c:pt>
              </c:strCache>
            </c:strRef>
          </c:tx>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cat>
            <c:strRef>
              <c:f>Pv3_SalesRecord!$A$4:$A$16</c:f>
              <c:strCache>
                <c:ptCount val="12"/>
                <c:pt idx="0">
                  <c:v>Jan</c:v>
                </c:pt>
                <c:pt idx="1">
                  <c:v>Feb</c:v>
                </c:pt>
                <c:pt idx="2">
                  <c:v>Mar</c:v>
                </c:pt>
                <c:pt idx="3">
                  <c:v>Apr</c:v>
                </c:pt>
                <c:pt idx="4">
                  <c:v>May</c:v>
                </c:pt>
                <c:pt idx="5">
                  <c:v>June</c:v>
                </c:pt>
                <c:pt idx="6">
                  <c:v>July</c:v>
                </c:pt>
                <c:pt idx="7">
                  <c:v>Aug</c:v>
                </c:pt>
                <c:pt idx="8">
                  <c:v>Sep</c:v>
                </c:pt>
                <c:pt idx="9">
                  <c:v>Oct</c:v>
                </c:pt>
                <c:pt idx="10">
                  <c:v>Nov</c:v>
                </c:pt>
                <c:pt idx="11">
                  <c:v>Dec</c:v>
                </c:pt>
              </c:strCache>
            </c:strRef>
          </c:cat>
          <c:val>
            <c:numRef>
              <c:f>Pv3_SalesRecord!$B$4:$B$16</c:f>
              <c:numCache>
                <c:formatCode>General</c:formatCode>
                <c:ptCount val="12"/>
                <c:pt idx="0">
                  <c:v>10400</c:v>
                </c:pt>
                <c:pt idx="1">
                  <c:v>17000</c:v>
                </c:pt>
                <c:pt idx="2">
                  <c:v>9800</c:v>
                </c:pt>
                <c:pt idx="3">
                  <c:v>12250</c:v>
                </c:pt>
                <c:pt idx="4">
                  <c:v>22400</c:v>
                </c:pt>
                <c:pt idx="5">
                  <c:v>19300</c:v>
                </c:pt>
                <c:pt idx="6">
                  <c:v>11500</c:v>
                </c:pt>
                <c:pt idx="7">
                  <c:v>26150</c:v>
                </c:pt>
                <c:pt idx="8">
                  <c:v>28450</c:v>
                </c:pt>
                <c:pt idx="9">
                  <c:v>15550</c:v>
                </c:pt>
                <c:pt idx="10">
                  <c:v>30900</c:v>
                </c:pt>
                <c:pt idx="11">
                  <c:v>22650</c:v>
                </c:pt>
              </c:numCache>
            </c:numRef>
          </c:val>
          <c:smooth val="0"/>
          <c:extLst>
            <c:ext xmlns:c16="http://schemas.microsoft.com/office/drawing/2014/chart" uri="{C3380CC4-5D6E-409C-BE32-E72D297353CC}">
              <c16:uniqueId val="{00000000-18A8-47F9-8BC0-C0305E81825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47519519"/>
        <c:axId val="1947516607"/>
      </c:lineChart>
      <c:catAx>
        <c:axId val="19475195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947516607"/>
        <c:crosses val="autoZero"/>
        <c:auto val="1"/>
        <c:lblAlgn val="ctr"/>
        <c:lblOffset val="100"/>
        <c:noMultiLvlLbl val="0"/>
      </c:catAx>
      <c:valAx>
        <c:axId val="194751660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TOTAL 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4751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[Eniola_Seeding_Africa.xlsx]Pv3_SalesRecord!PivotTable2</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TREND OF SALES</a:t>
            </a:r>
          </a:p>
        </c:rich>
      </c:tx>
      <c:layout>
        <c:manualLayout>
          <c:xMode val="edge"/>
          <c:yMode val="edge"/>
          <c:x val="0.34712489063867014"/>
          <c:y val="4.990522018081073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3"/>
            </a:outerShdw>
          </a:effectLst>
        </c:spPr>
        <c:marker>
          <c:symbol val="circle"/>
          <c:size val="5"/>
          <c:spPr>
            <a:solidFill>
              <a:schemeClr val="accent3"/>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Pv3_SalesRecord!$B$44</c:f>
              <c:strCache>
                <c:ptCount val="1"/>
                <c:pt idx="0">
                  <c:v>Total</c:v>
                </c:pt>
              </c:strCache>
            </c:strRef>
          </c:tx>
          <c:spPr>
            <a:ln w="34925" cap="rnd">
              <a:solidFill>
                <a:schemeClr val="lt1"/>
              </a:solidFill>
              <a:round/>
            </a:ln>
            <a:effectLst>
              <a:outerShdw dist="25400" dir="2700000" algn="tl" rotWithShape="0">
                <a:schemeClr val="accent3"/>
              </a:outerShdw>
            </a:effectLst>
          </c:spPr>
          <c:marker>
            <c:symbol val="circle"/>
            <c:size val="5"/>
            <c:spPr>
              <a:solidFill>
                <a:schemeClr val="accent3"/>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cat>
            <c:strRef>
              <c:f>Pv3_SalesRecord!$A$45:$A$57</c:f>
              <c:strCache>
                <c:ptCount val="12"/>
                <c:pt idx="0">
                  <c:v>Jan</c:v>
                </c:pt>
                <c:pt idx="1">
                  <c:v>Feb</c:v>
                </c:pt>
                <c:pt idx="2">
                  <c:v>Mar</c:v>
                </c:pt>
                <c:pt idx="3">
                  <c:v>Apr</c:v>
                </c:pt>
                <c:pt idx="4">
                  <c:v>May</c:v>
                </c:pt>
                <c:pt idx="5">
                  <c:v>June</c:v>
                </c:pt>
                <c:pt idx="6">
                  <c:v>July</c:v>
                </c:pt>
                <c:pt idx="7">
                  <c:v>Aug</c:v>
                </c:pt>
                <c:pt idx="8">
                  <c:v>Sep</c:v>
                </c:pt>
                <c:pt idx="9">
                  <c:v>Oct</c:v>
                </c:pt>
                <c:pt idx="10">
                  <c:v>Nov</c:v>
                </c:pt>
                <c:pt idx="11">
                  <c:v>Dec</c:v>
                </c:pt>
              </c:strCache>
            </c:strRef>
          </c:cat>
          <c:val>
            <c:numRef>
              <c:f>Pv3_SalesRecord!$B$45:$B$57</c:f>
              <c:numCache>
                <c:formatCode>General</c:formatCode>
                <c:ptCount val="12"/>
                <c:pt idx="0">
                  <c:v>36100</c:v>
                </c:pt>
                <c:pt idx="1">
                  <c:v>61200</c:v>
                </c:pt>
                <c:pt idx="2">
                  <c:v>45950</c:v>
                </c:pt>
                <c:pt idx="3">
                  <c:v>48300</c:v>
                </c:pt>
                <c:pt idx="4">
                  <c:v>81100</c:v>
                </c:pt>
                <c:pt idx="5">
                  <c:v>67500</c:v>
                </c:pt>
                <c:pt idx="6">
                  <c:v>43450</c:v>
                </c:pt>
                <c:pt idx="7">
                  <c:v>98900</c:v>
                </c:pt>
                <c:pt idx="8">
                  <c:v>99600</c:v>
                </c:pt>
                <c:pt idx="9">
                  <c:v>45200</c:v>
                </c:pt>
                <c:pt idx="10">
                  <c:v>93250</c:v>
                </c:pt>
                <c:pt idx="11">
                  <c:v>77950</c:v>
                </c:pt>
              </c:numCache>
            </c:numRef>
          </c:val>
          <c:smooth val="0"/>
          <c:extLst>
            <c:ext xmlns:c16="http://schemas.microsoft.com/office/drawing/2014/chart" uri="{C3380CC4-5D6E-409C-BE32-E72D297353CC}">
              <c16:uniqueId val="{00000000-6F9B-4728-9CFB-AF4A6E42C1E3}"/>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71366288"/>
        <c:axId val="971369616"/>
      </c:lineChart>
      <c:catAx>
        <c:axId val="9713662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971369616"/>
        <c:crosses val="autoZero"/>
        <c:auto val="1"/>
        <c:lblAlgn val="ctr"/>
        <c:lblOffset val="100"/>
        <c:noMultiLvlLbl val="0"/>
      </c:catAx>
      <c:valAx>
        <c:axId val="971369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TOTAL SALES FOR EACH MONTH</a:t>
                </a:r>
              </a:p>
            </c:rich>
          </c:tx>
          <c:layout>
            <c:manualLayout>
              <c:xMode val="edge"/>
              <c:yMode val="edge"/>
              <c:x val="3.6111111111111108E-2"/>
              <c:y val="0.1845811461067366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71366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chart" Target="../charts/chart12.xml"/><Relationship Id="rId7" Type="http://schemas.openxmlformats.org/officeDocument/2006/relationships/chart" Target="../charts/chart14.xml"/><Relationship Id="rId2" Type="http://schemas.openxmlformats.org/officeDocument/2006/relationships/chart" Target="../charts/chart11.xml"/><Relationship Id="rId1" Type="http://schemas.openxmlformats.org/officeDocument/2006/relationships/image" Target="../media/image1.emf"/><Relationship Id="rId6" Type="http://schemas.openxmlformats.org/officeDocument/2006/relationships/image" Target="../media/image3.emf"/><Relationship Id="rId5" Type="http://schemas.openxmlformats.org/officeDocument/2006/relationships/chart" Target="../charts/chart13.xml"/><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304801</xdr:colOff>
      <xdr:row>0</xdr:row>
      <xdr:rowOff>352425</xdr:rowOff>
    </xdr:from>
    <xdr:to>
      <xdr:col>0</xdr:col>
      <xdr:colOff>2524124</xdr:colOff>
      <xdr:row>0</xdr:row>
      <xdr:rowOff>1562100</xdr:rowOff>
    </xdr:to>
    <xdr:sp macro="" textlink="">
      <xdr:nvSpPr>
        <xdr:cNvPr id="2" name="Speech Bubble: Rectangle with Corners Rounded 1">
          <a:extLst>
            <a:ext uri="{FF2B5EF4-FFF2-40B4-BE49-F238E27FC236}">
              <a16:creationId xmlns:a16="http://schemas.microsoft.com/office/drawing/2014/main" id="{BEC2A388-10C5-4EFF-BD17-B052390BDFB6}"/>
            </a:ext>
          </a:extLst>
        </xdr:cNvPr>
        <xdr:cNvSpPr/>
      </xdr:nvSpPr>
      <xdr:spPr>
        <a:xfrm>
          <a:off x="304801" y="190500"/>
          <a:ext cx="2219323" cy="0"/>
        </a:xfrm>
        <a:prstGeom prst="wedgeRoundRectCallou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chemeClr val="bg1"/>
              </a:solidFill>
            </a:rPr>
            <a:t>SABROSA</a:t>
          </a:r>
        </a:p>
        <a:p>
          <a:pPr algn="l"/>
          <a:endParaRPr lang="en-US" sz="1100" b="1">
            <a:solidFill>
              <a:schemeClr val="bg1"/>
            </a:solidFill>
          </a:endParaRPr>
        </a:p>
        <a:p>
          <a:pPr algn="l"/>
          <a:endParaRPr lang="en-US"/>
        </a:p>
        <a:p>
          <a:pPr algn="l"/>
          <a:r>
            <a:rPr lang="en-US"/>
            <a:t>Empardas &amp; More</a:t>
          </a:r>
          <a:endParaRPr lang="en-US" sz="1100" b="1">
            <a:solidFill>
              <a:schemeClr val="bg1"/>
            </a:solidFill>
          </a:endParaRPr>
        </a:p>
      </xdr:txBody>
    </xdr:sp>
    <xdr:clientData/>
  </xdr:twoCellAnchor>
  <xdr:twoCellAnchor>
    <xdr:from>
      <xdr:col>0</xdr:col>
      <xdr:colOff>419100</xdr:colOff>
      <xdr:row>0</xdr:row>
      <xdr:rowOff>1066800</xdr:rowOff>
    </xdr:from>
    <xdr:to>
      <xdr:col>0</xdr:col>
      <xdr:colOff>2314575</xdr:colOff>
      <xdr:row>0</xdr:row>
      <xdr:rowOff>1066802</xdr:rowOff>
    </xdr:to>
    <xdr:cxnSp macro="">
      <xdr:nvCxnSpPr>
        <xdr:cNvPr id="3" name="Straight Connector 2">
          <a:extLst>
            <a:ext uri="{FF2B5EF4-FFF2-40B4-BE49-F238E27FC236}">
              <a16:creationId xmlns:a16="http://schemas.microsoft.com/office/drawing/2014/main" id="{8A3368EE-654F-437B-9ACD-C157A9920977}"/>
            </a:ext>
          </a:extLst>
        </xdr:cNvPr>
        <xdr:cNvCxnSpPr/>
      </xdr:nvCxnSpPr>
      <xdr:spPr>
        <a:xfrm flipV="1">
          <a:off x="419100" y="190500"/>
          <a:ext cx="1895475" cy="2"/>
        </a:xfrm>
        <a:prstGeom prst="line">
          <a:avLst/>
        </a:prstGeom>
        <a:ln w="73025">
          <a:solidFill>
            <a:schemeClr val="bg1"/>
          </a:solidFill>
        </a:ln>
        <a:effectLst>
          <a:reflection blurRad="6350" stA="52000" endA="300" endPos="35000" dir="5400000" sy="-100000" algn="bl" rotWithShape="0"/>
        </a:effectLst>
        <a:scene3d>
          <a:camera prst="orthographicFront"/>
          <a:lightRig rig="threePt" dir="t"/>
        </a:scene3d>
        <a:sp3d>
          <a:bevelT prst="relaxedInset"/>
        </a:sp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1276350</xdr:colOff>
      <xdr:row>0</xdr:row>
      <xdr:rowOff>962025</xdr:rowOff>
    </xdr:from>
    <xdr:to>
      <xdr:col>0</xdr:col>
      <xdr:colOff>1447800</xdr:colOff>
      <xdr:row>0</xdr:row>
      <xdr:rowOff>1143001</xdr:rowOff>
    </xdr:to>
    <xdr:sp macro="" textlink="">
      <xdr:nvSpPr>
        <xdr:cNvPr id="4" name="Flowchart: Decision 3">
          <a:extLst>
            <a:ext uri="{FF2B5EF4-FFF2-40B4-BE49-F238E27FC236}">
              <a16:creationId xmlns:a16="http://schemas.microsoft.com/office/drawing/2014/main" id="{6A21CB4E-F213-41F6-9127-151B53558EA0}"/>
            </a:ext>
          </a:extLst>
        </xdr:cNvPr>
        <xdr:cNvSpPr/>
      </xdr:nvSpPr>
      <xdr:spPr>
        <a:xfrm>
          <a:off x="1276350" y="190500"/>
          <a:ext cx="171450" cy="1"/>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57150</xdr:colOff>
      <xdr:row>0</xdr:row>
      <xdr:rowOff>304800</xdr:rowOff>
    </xdr:from>
    <xdr:to>
      <xdr:col>1</xdr:col>
      <xdr:colOff>3390900</xdr:colOff>
      <xdr:row>0</xdr:row>
      <xdr:rowOff>1809750</xdr:rowOff>
    </xdr:to>
    <xdr:sp macro="" textlink="">
      <xdr:nvSpPr>
        <xdr:cNvPr id="5" name="TextBox 4">
          <a:extLst>
            <a:ext uri="{FF2B5EF4-FFF2-40B4-BE49-F238E27FC236}">
              <a16:creationId xmlns:a16="http://schemas.microsoft.com/office/drawing/2014/main" id="{8FC87117-9840-4FF8-AAC8-E5BD7966CD6B}"/>
            </a:ext>
          </a:extLst>
        </xdr:cNvPr>
        <xdr:cNvSpPr txBox="1"/>
      </xdr:nvSpPr>
      <xdr:spPr>
        <a:xfrm>
          <a:off x="3495675" y="190500"/>
          <a:ext cx="3333750" cy="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Budget</a:t>
          </a:r>
          <a:r>
            <a:rPr lang="en-US" sz="1400" b="1" baseline="0"/>
            <a:t> &amp; Paper Supplies</a:t>
          </a:r>
        </a:p>
        <a:p>
          <a:endParaRPr lang="en-US" sz="1400" b="1" baseline="0"/>
        </a:p>
        <a:p>
          <a:endParaRPr lang="en-US" sz="1400" b="1" baseline="0"/>
        </a:p>
        <a:p>
          <a:r>
            <a:rPr lang="en-US" sz="1400" b="0" baseline="0"/>
            <a:t>Sabrosa Empanadas &amp; More</a:t>
          </a:r>
        </a:p>
        <a:p>
          <a:r>
            <a:rPr lang="en-US" sz="1400" b="0" baseline="0"/>
            <a:t>1202 Biscayne Bay Drive</a:t>
          </a:r>
        </a:p>
        <a:p>
          <a:r>
            <a:rPr lang="en-US" sz="1400" b="0" baseline="0"/>
            <a:t>Oriando, FL 32804</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657224</xdr:colOff>
      <xdr:row>6</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30650260-A2E5-4D45-B976-4B847C4C6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657224</xdr:colOff>
      <xdr:row>18</xdr:row>
      <xdr:rowOff>0</xdr:rowOff>
    </xdr:from>
    <xdr:to>
      <xdr:col>20</xdr:col>
      <xdr:colOff>0</xdr:colOff>
      <xdr:row>30</xdr:row>
      <xdr:rowOff>0</xdr:rowOff>
    </xdr:to>
    <xdr:graphicFrame macro="">
      <xdr:nvGraphicFramePr>
        <xdr:cNvPr id="3" name="Chart 2">
          <a:extLst>
            <a:ext uri="{FF2B5EF4-FFF2-40B4-BE49-F238E27FC236}">
              <a16:creationId xmlns:a16="http://schemas.microsoft.com/office/drawing/2014/main" id="{80F6BA46-6EFB-4695-8EC6-4BA2EFD0A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30</xdr:row>
      <xdr:rowOff>1</xdr:rowOff>
    </xdr:from>
    <xdr:to>
      <xdr:col>20</xdr:col>
      <xdr:colOff>0</xdr:colOff>
      <xdr:row>42</xdr:row>
      <xdr:rowOff>0</xdr:rowOff>
    </xdr:to>
    <xdr:graphicFrame macro="">
      <xdr:nvGraphicFramePr>
        <xdr:cNvPr id="4" name="Chart 3">
          <a:extLst>
            <a:ext uri="{FF2B5EF4-FFF2-40B4-BE49-F238E27FC236}">
              <a16:creationId xmlns:a16="http://schemas.microsoft.com/office/drawing/2014/main" id="{7E6AD942-801C-4454-8E0A-D83D04082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42</xdr:row>
      <xdr:rowOff>1</xdr:rowOff>
    </xdr:from>
    <xdr:to>
      <xdr:col>20</xdr:col>
      <xdr:colOff>0</xdr:colOff>
      <xdr:row>55</xdr:row>
      <xdr:rowOff>0</xdr:rowOff>
    </xdr:to>
    <xdr:graphicFrame macro="">
      <xdr:nvGraphicFramePr>
        <xdr:cNvPr id="5" name="Chart 4">
          <a:extLst>
            <a:ext uri="{FF2B5EF4-FFF2-40B4-BE49-F238E27FC236}">
              <a16:creationId xmlns:a16="http://schemas.microsoft.com/office/drawing/2014/main" id="{9A74DD97-180D-4122-B1C6-40EF55BBE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xdr:row>
      <xdr:rowOff>990599</xdr:rowOff>
    </xdr:from>
    <xdr:to>
      <xdr:col>15</xdr:col>
      <xdr:colOff>0</xdr:colOff>
      <xdr:row>16</xdr:row>
      <xdr:rowOff>0</xdr:rowOff>
    </xdr:to>
    <xdr:graphicFrame macro="">
      <xdr:nvGraphicFramePr>
        <xdr:cNvPr id="3" name="Chart 2">
          <a:extLst>
            <a:ext uri="{FF2B5EF4-FFF2-40B4-BE49-F238E27FC236}">
              <a16:creationId xmlns:a16="http://schemas.microsoft.com/office/drawing/2014/main" id="{E727C55C-A1C3-4743-95F9-1A7851424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0</xdr:row>
      <xdr:rowOff>190499</xdr:rowOff>
    </xdr:from>
    <xdr:to>
      <xdr:col>11</xdr:col>
      <xdr:colOff>0</xdr:colOff>
      <xdr:row>15</xdr:row>
      <xdr:rowOff>0</xdr:rowOff>
    </xdr:to>
    <xdr:graphicFrame macro="">
      <xdr:nvGraphicFramePr>
        <xdr:cNvPr id="2" name="Chart 1">
          <a:extLst>
            <a:ext uri="{FF2B5EF4-FFF2-40B4-BE49-F238E27FC236}">
              <a16:creationId xmlns:a16="http://schemas.microsoft.com/office/drawing/2014/main" id="{C917ED9D-1D5C-442F-A8B2-8B126A214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609599</xdr:colOff>
      <xdr:row>15</xdr:row>
      <xdr:rowOff>0</xdr:rowOff>
    </xdr:from>
    <xdr:to>
      <xdr:col>11</xdr:col>
      <xdr:colOff>0</xdr:colOff>
      <xdr:row>30</xdr:row>
      <xdr:rowOff>0</xdr:rowOff>
    </xdr:to>
    <xdr:graphicFrame macro="">
      <xdr:nvGraphicFramePr>
        <xdr:cNvPr id="3" name="Chart 2">
          <a:extLst>
            <a:ext uri="{FF2B5EF4-FFF2-40B4-BE49-F238E27FC236}">
              <a16:creationId xmlns:a16="http://schemas.microsoft.com/office/drawing/2014/main" id="{9A387712-F643-4122-A664-37EFA1A20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30</xdr:row>
      <xdr:rowOff>0</xdr:rowOff>
    </xdr:from>
    <xdr:to>
      <xdr:col>10</xdr:col>
      <xdr:colOff>609599</xdr:colOff>
      <xdr:row>45</xdr:row>
      <xdr:rowOff>0</xdr:rowOff>
    </xdr:to>
    <xdr:graphicFrame macro="">
      <xdr:nvGraphicFramePr>
        <xdr:cNvPr id="4" name="Chart 3">
          <a:extLst>
            <a:ext uri="{FF2B5EF4-FFF2-40B4-BE49-F238E27FC236}">
              <a16:creationId xmlns:a16="http://schemas.microsoft.com/office/drawing/2014/main" id="{B8FEA201-D5FE-4220-8A43-19E8045C8E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B06C1079-F8CD-4E65-B281-2FD5A02B6D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609599</xdr:colOff>
      <xdr:row>16</xdr:row>
      <xdr:rowOff>0</xdr:rowOff>
    </xdr:from>
    <xdr:to>
      <xdr:col>11</xdr:col>
      <xdr:colOff>0</xdr:colOff>
      <xdr:row>31</xdr:row>
      <xdr:rowOff>0</xdr:rowOff>
    </xdr:to>
    <xdr:graphicFrame macro="">
      <xdr:nvGraphicFramePr>
        <xdr:cNvPr id="3" name="Chart 2">
          <a:extLst>
            <a:ext uri="{FF2B5EF4-FFF2-40B4-BE49-F238E27FC236}">
              <a16:creationId xmlns:a16="http://schemas.microsoft.com/office/drawing/2014/main" id="{3DF6BD73-C182-4D14-857A-16978A40F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152400</xdr:colOff>
      <xdr:row>15</xdr:row>
      <xdr:rowOff>9525</xdr:rowOff>
    </xdr:to>
    <xdr:pic>
      <xdr:nvPicPr>
        <xdr:cNvPr id="5" name="Picture 4">
          <a:extLst>
            <a:ext uri="{FF2B5EF4-FFF2-40B4-BE49-F238E27FC236}">
              <a16:creationId xmlns:a16="http://schemas.microsoft.com/office/drawing/2014/main" id="{7DA045EE-1905-45B8-A527-9CBF9BC6B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259080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609599</xdr:colOff>
      <xdr:row>2</xdr:row>
      <xdr:rowOff>0</xdr:rowOff>
    </xdr:from>
    <xdr:to>
      <xdr:col>13</xdr:col>
      <xdr:colOff>0</xdr:colOff>
      <xdr:row>16</xdr:row>
      <xdr:rowOff>0</xdr:rowOff>
    </xdr:to>
    <xdr:graphicFrame macro="">
      <xdr:nvGraphicFramePr>
        <xdr:cNvPr id="3" name="Chart 2">
          <a:extLst>
            <a:ext uri="{FF2B5EF4-FFF2-40B4-BE49-F238E27FC236}">
              <a16:creationId xmlns:a16="http://schemas.microsoft.com/office/drawing/2014/main" id="{28877284-68CB-405E-9378-791E8DE5FC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16</xdr:row>
      <xdr:rowOff>1</xdr:rowOff>
    </xdr:from>
    <xdr:to>
      <xdr:col>13</xdr:col>
      <xdr:colOff>0</xdr:colOff>
      <xdr:row>30</xdr:row>
      <xdr:rowOff>95251</xdr:rowOff>
    </xdr:to>
    <xdr:graphicFrame macro="">
      <xdr:nvGraphicFramePr>
        <xdr:cNvPr id="4" name="Chart 3">
          <a:extLst>
            <a:ext uri="{FF2B5EF4-FFF2-40B4-BE49-F238E27FC236}">
              <a16:creationId xmlns:a16="http://schemas.microsoft.com/office/drawing/2014/main" id="{1D971FBB-2ECD-48A5-910F-944DF3AE5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9525</xdr:colOff>
      <xdr:row>2</xdr:row>
      <xdr:rowOff>19050</xdr:rowOff>
    </xdr:from>
    <xdr:to>
      <xdr:col>16</xdr:col>
      <xdr:colOff>9525</xdr:colOff>
      <xdr:row>15</xdr:row>
      <xdr:rowOff>66675</xdr:rowOff>
    </xdr:to>
    <mc:AlternateContent xmlns:mc="http://schemas.openxmlformats.org/markup-compatibility/2006" xmlns:a14="http://schemas.microsoft.com/office/drawing/2010/main">
      <mc:Choice Requires="a14">
        <xdr:graphicFrame macro="">
          <xdr:nvGraphicFramePr>
            <xdr:cNvPr id="2" name="Model">
              <a:extLst>
                <a:ext uri="{FF2B5EF4-FFF2-40B4-BE49-F238E27FC236}">
                  <a16:creationId xmlns:a16="http://schemas.microsoft.com/office/drawing/2014/main" id="{6BACF2F9-BB3D-4D8F-81BF-C0307397BBFE}"/>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7934325"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2</xdr:row>
      <xdr:rowOff>9525</xdr:rowOff>
    </xdr:from>
    <xdr:to>
      <xdr:col>19</xdr:col>
      <xdr:colOff>9525</xdr:colOff>
      <xdr:row>15</xdr:row>
      <xdr:rowOff>57150</xdr:rowOff>
    </xdr:to>
    <mc:AlternateContent xmlns:mc="http://schemas.openxmlformats.org/markup-compatibility/2006" xmlns:a14="http://schemas.microsoft.com/office/drawing/2010/main">
      <mc:Choice Requires="a14">
        <xdr:graphicFrame macro="">
          <xdr:nvGraphicFramePr>
            <xdr:cNvPr id="7" name="Miles">
              <a:extLst>
                <a:ext uri="{FF2B5EF4-FFF2-40B4-BE49-F238E27FC236}">
                  <a16:creationId xmlns:a16="http://schemas.microsoft.com/office/drawing/2014/main" id="{7C0106DD-D9C0-4AD9-A634-3EBECA205590}"/>
                </a:ext>
              </a:extLst>
            </xdr:cNvPr>
            <xdr:cNvGraphicFramePr/>
          </xdr:nvGraphicFramePr>
          <xdr:xfrm>
            <a:off x="0" y="0"/>
            <a:ext cx="0" cy="0"/>
          </xdr:xfrm>
          <a:graphic>
            <a:graphicData uri="http://schemas.microsoft.com/office/drawing/2010/slicer">
              <sle:slicer xmlns:sle="http://schemas.microsoft.com/office/drawing/2010/slicer" name="Miles"/>
            </a:graphicData>
          </a:graphic>
        </xdr:graphicFrame>
      </mc:Choice>
      <mc:Fallback xmlns="">
        <xdr:sp macro="" textlink="">
          <xdr:nvSpPr>
            <xdr:cNvPr id="0" name=""/>
            <xdr:cNvSpPr>
              <a:spLocks noTextEdit="1"/>
            </xdr:cNvSpPr>
          </xdr:nvSpPr>
          <xdr:spPr>
            <a:xfrm>
              <a:off x="9763125" y="390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xdr:colOff>
      <xdr:row>16</xdr:row>
      <xdr:rowOff>0</xdr:rowOff>
    </xdr:from>
    <xdr:to>
      <xdr:col>16</xdr:col>
      <xdr:colOff>9525</xdr:colOff>
      <xdr:row>29</xdr:row>
      <xdr:rowOff>47625</xdr:rowOff>
    </xdr:to>
    <mc:AlternateContent xmlns:mc="http://schemas.openxmlformats.org/markup-compatibility/2006" xmlns:a14="http://schemas.microsoft.com/office/drawing/2010/main">
      <mc:Choice Requires="a14">
        <xdr:graphicFrame macro="">
          <xdr:nvGraphicFramePr>
            <xdr:cNvPr id="11" name="Model (Full Name)">
              <a:extLst>
                <a:ext uri="{FF2B5EF4-FFF2-40B4-BE49-F238E27FC236}">
                  <a16:creationId xmlns:a16="http://schemas.microsoft.com/office/drawing/2014/main" id="{34322113-D3E8-4A69-9BCC-AE825614FCCC}"/>
                </a:ext>
              </a:extLst>
            </xdr:cNvPr>
            <xdr:cNvGraphicFramePr/>
          </xdr:nvGraphicFramePr>
          <xdr:xfrm>
            <a:off x="0" y="0"/>
            <a:ext cx="0" cy="0"/>
          </xdr:xfrm>
          <a:graphic>
            <a:graphicData uri="http://schemas.microsoft.com/office/drawing/2010/slicer">
              <sle:slicer xmlns:sle="http://schemas.microsoft.com/office/drawing/2010/slicer" name="Model (Full Name)"/>
            </a:graphicData>
          </a:graphic>
        </xdr:graphicFrame>
      </mc:Choice>
      <mc:Fallback xmlns="">
        <xdr:sp macro="" textlink="">
          <xdr:nvSpPr>
            <xdr:cNvPr id="0" name=""/>
            <xdr:cNvSpPr>
              <a:spLocks noTextEdit="1"/>
            </xdr:cNvSpPr>
          </xdr:nvSpPr>
          <xdr:spPr>
            <a:xfrm>
              <a:off x="7934325"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16</xdr:row>
      <xdr:rowOff>0</xdr:rowOff>
    </xdr:from>
    <xdr:to>
      <xdr:col>19</xdr:col>
      <xdr:colOff>9525</xdr:colOff>
      <xdr:row>29</xdr:row>
      <xdr:rowOff>47625</xdr:rowOff>
    </xdr:to>
    <mc:AlternateContent xmlns:mc="http://schemas.openxmlformats.org/markup-compatibility/2006" xmlns:a14="http://schemas.microsoft.com/office/drawing/2010/main">
      <mc:Choice Requires="a14">
        <xdr:graphicFrame macro="">
          <xdr:nvGraphicFramePr>
            <xdr:cNvPr id="12" name="Miles / Year">
              <a:extLst>
                <a:ext uri="{FF2B5EF4-FFF2-40B4-BE49-F238E27FC236}">
                  <a16:creationId xmlns:a16="http://schemas.microsoft.com/office/drawing/2014/main" id="{53774F9F-F1C6-4EB1-AFC9-07F69ED745FC}"/>
                </a:ext>
              </a:extLst>
            </xdr:cNvPr>
            <xdr:cNvGraphicFramePr/>
          </xdr:nvGraphicFramePr>
          <xdr:xfrm>
            <a:off x="0" y="0"/>
            <a:ext cx="0" cy="0"/>
          </xdr:xfrm>
          <a:graphic>
            <a:graphicData uri="http://schemas.microsoft.com/office/drawing/2010/slicer">
              <sle:slicer xmlns:sle="http://schemas.microsoft.com/office/drawing/2010/slicer" name="Miles / Year"/>
            </a:graphicData>
          </a:graphic>
        </xdr:graphicFrame>
      </mc:Choice>
      <mc:Fallback xmlns="">
        <xdr:sp macro="" textlink="">
          <xdr:nvSpPr>
            <xdr:cNvPr id="0" name=""/>
            <xdr:cNvSpPr>
              <a:spLocks noTextEdit="1"/>
            </xdr:cNvSpPr>
          </xdr:nvSpPr>
          <xdr:spPr>
            <a:xfrm>
              <a:off x="9763125"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38099</xdr:rowOff>
    </xdr:from>
    <xdr:to>
      <xdr:col>4</xdr:col>
      <xdr:colOff>190500</xdr:colOff>
      <xdr:row>40</xdr:row>
      <xdr:rowOff>123825</xdr:rowOff>
    </xdr:to>
    <xdr:pic>
      <xdr:nvPicPr>
        <xdr:cNvPr id="13" name="Picture 12">
          <a:extLst>
            <a:ext uri="{FF2B5EF4-FFF2-40B4-BE49-F238E27FC236}">
              <a16:creationId xmlns:a16="http://schemas.microsoft.com/office/drawing/2014/main" id="{C93DE19B-52A3-4047-A528-7FE47C2EC77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943599"/>
          <a:ext cx="2628900" cy="1800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30</xdr:row>
      <xdr:rowOff>95250</xdr:rowOff>
    </xdr:from>
    <xdr:to>
      <xdr:col>13</xdr:col>
      <xdr:colOff>0</xdr:colOff>
      <xdr:row>45</xdr:row>
      <xdr:rowOff>0</xdr:rowOff>
    </xdr:to>
    <xdr:graphicFrame macro="">
      <xdr:nvGraphicFramePr>
        <xdr:cNvPr id="14" name="Chart 13">
          <a:extLst>
            <a:ext uri="{FF2B5EF4-FFF2-40B4-BE49-F238E27FC236}">
              <a16:creationId xmlns:a16="http://schemas.microsoft.com/office/drawing/2014/main" id="{A0540E3B-2535-476F-A4F1-0722F031E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9525</xdr:colOff>
      <xdr:row>30</xdr:row>
      <xdr:rowOff>95250</xdr:rowOff>
    </xdr:from>
    <xdr:to>
      <xdr:col>16</xdr:col>
      <xdr:colOff>9525</xdr:colOff>
      <xdr:row>43</xdr:row>
      <xdr:rowOff>142875</xdr:rowOff>
    </xdr:to>
    <mc:AlternateContent xmlns:mc="http://schemas.openxmlformats.org/markup-compatibility/2006" xmlns:a14="http://schemas.microsoft.com/office/drawing/2010/main">
      <mc:Choice Requires="a14">
        <xdr:graphicFrame macro="">
          <xdr:nvGraphicFramePr>
            <xdr:cNvPr id="15" name="Car ID">
              <a:extLst>
                <a:ext uri="{FF2B5EF4-FFF2-40B4-BE49-F238E27FC236}">
                  <a16:creationId xmlns:a16="http://schemas.microsoft.com/office/drawing/2014/main" id="{A4C1F94B-BF17-40B3-B46B-FF550D19DFC2}"/>
                </a:ext>
              </a:extLst>
            </xdr:cNvPr>
            <xdr:cNvGraphicFramePr/>
          </xdr:nvGraphicFramePr>
          <xdr:xfrm>
            <a:off x="0" y="0"/>
            <a:ext cx="0" cy="0"/>
          </xdr:xfrm>
          <a:graphic>
            <a:graphicData uri="http://schemas.microsoft.com/office/drawing/2010/slicer">
              <sle:slicer xmlns:sle="http://schemas.microsoft.com/office/drawing/2010/slicer" name="Car ID"/>
            </a:graphicData>
          </a:graphic>
        </xdr:graphicFrame>
      </mc:Choice>
      <mc:Fallback xmlns="">
        <xdr:sp macro="" textlink="">
          <xdr:nvSpPr>
            <xdr:cNvPr id="0" name=""/>
            <xdr:cNvSpPr>
              <a:spLocks noTextEdit="1"/>
            </xdr:cNvSpPr>
          </xdr:nvSpPr>
          <xdr:spPr>
            <a:xfrm>
              <a:off x="7934325" y="5810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30</xdr:row>
      <xdr:rowOff>95250</xdr:rowOff>
    </xdr:from>
    <xdr:to>
      <xdr:col>19</xdr:col>
      <xdr:colOff>9525</xdr:colOff>
      <xdr:row>43</xdr:row>
      <xdr:rowOff>142875</xdr:rowOff>
    </xdr:to>
    <mc:AlternateContent xmlns:mc="http://schemas.openxmlformats.org/markup-compatibility/2006" xmlns:a14="http://schemas.microsoft.com/office/drawing/2010/main">
      <mc:Choice Requires="a14">
        <xdr:graphicFrame macro="">
          <xdr:nvGraphicFramePr>
            <xdr:cNvPr id="16" name="Covered?">
              <a:extLst>
                <a:ext uri="{FF2B5EF4-FFF2-40B4-BE49-F238E27FC236}">
                  <a16:creationId xmlns:a16="http://schemas.microsoft.com/office/drawing/2014/main" id="{01C1350F-CC6D-4E17-A13A-6BD6F75D59C8}"/>
                </a:ext>
              </a:extLst>
            </xdr:cNvPr>
            <xdr:cNvGraphicFramePr/>
          </xdr:nvGraphicFramePr>
          <xdr:xfrm>
            <a:off x="0" y="0"/>
            <a:ext cx="0" cy="0"/>
          </xdr:xfrm>
          <a:graphic>
            <a:graphicData uri="http://schemas.microsoft.com/office/drawing/2010/slicer">
              <sle:slicer xmlns:sle="http://schemas.microsoft.com/office/drawing/2010/slicer" name="Covered?"/>
            </a:graphicData>
          </a:graphic>
        </xdr:graphicFrame>
      </mc:Choice>
      <mc:Fallback xmlns="">
        <xdr:sp macro="" textlink="">
          <xdr:nvSpPr>
            <xdr:cNvPr id="0" name=""/>
            <xdr:cNvSpPr>
              <a:spLocks noTextEdit="1"/>
            </xdr:cNvSpPr>
          </xdr:nvSpPr>
          <xdr:spPr>
            <a:xfrm>
              <a:off x="9763125" y="5810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45</xdr:row>
      <xdr:rowOff>114301</xdr:rowOff>
    </xdr:from>
    <xdr:to>
      <xdr:col>4</xdr:col>
      <xdr:colOff>152400</xdr:colOff>
      <xdr:row>61</xdr:row>
      <xdr:rowOff>85725</xdr:rowOff>
    </xdr:to>
    <xdr:pic>
      <xdr:nvPicPr>
        <xdr:cNvPr id="18" name="Picture 17">
          <a:extLst>
            <a:ext uri="{FF2B5EF4-FFF2-40B4-BE49-F238E27FC236}">
              <a16:creationId xmlns:a16="http://schemas.microsoft.com/office/drawing/2014/main" id="{C51D6B2E-A567-405A-A5A8-21B456CAFCA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686801"/>
          <a:ext cx="2590800" cy="3019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45</xdr:row>
      <xdr:rowOff>0</xdr:rowOff>
    </xdr:from>
    <xdr:to>
      <xdr:col>13</xdr:col>
      <xdr:colOff>0</xdr:colOff>
      <xdr:row>61</xdr:row>
      <xdr:rowOff>0</xdr:rowOff>
    </xdr:to>
    <xdr:graphicFrame macro="">
      <xdr:nvGraphicFramePr>
        <xdr:cNvPr id="19" name="Chart 18">
          <a:extLst>
            <a:ext uri="{FF2B5EF4-FFF2-40B4-BE49-F238E27FC236}">
              <a16:creationId xmlns:a16="http://schemas.microsoft.com/office/drawing/2014/main" id="{53EFBD61-3060-46CD-A8AF-ED807B19A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19050</xdr:colOff>
      <xdr:row>45</xdr:row>
      <xdr:rowOff>9525</xdr:rowOff>
    </xdr:from>
    <xdr:to>
      <xdr:col>16</xdr:col>
      <xdr:colOff>19050</xdr:colOff>
      <xdr:row>58</xdr:row>
      <xdr:rowOff>57150</xdr:rowOff>
    </xdr:to>
    <mc:AlternateContent xmlns:mc="http://schemas.openxmlformats.org/markup-compatibility/2006" xmlns:a14="http://schemas.microsoft.com/office/drawing/2010/main">
      <mc:Choice Requires="a14">
        <xdr:graphicFrame macro="">
          <xdr:nvGraphicFramePr>
            <xdr:cNvPr id="20" name="Model 1">
              <a:extLst>
                <a:ext uri="{FF2B5EF4-FFF2-40B4-BE49-F238E27FC236}">
                  <a16:creationId xmlns:a16="http://schemas.microsoft.com/office/drawing/2014/main" id="{A1A02582-B759-4917-9CDE-8F2157F25113}"/>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7943850" y="858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45</xdr:row>
      <xdr:rowOff>9525</xdr:rowOff>
    </xdr:from>
    <xdr:to>
      <xdr:col>19</xdr:col>
      <xdr:colOff>19050</xdr:colOff>
      <xdr:row>58</xdr:row>
      <xdr:rowOff>57150</xdr:rowOff>
    </xdr:to>
    <mc:AlternateContent xmlns:mc="http://schemas.openxmlformats.org/markup-compatibility/2006" xmlns:a14="http://schemas.microsoft.com/office/drawing/2010/main">
      <mc:Choice Requires="a14">
        <xdr:graphicFrame macro="">
          <xdr:nvGraphicFramePr>
            <xdr:cNvPr id="21" name="Miles / Year 1">
              <a:extLst>
                <a:ext uri="{FF2B5EF4-FFF2-40B4-BE49-F238E27FC236}">
                  <a16:creationId xmlns:a16="http://schemas.microsoft.com/office/drawing/2014/main" id="{3C383FBC-2174-4374-A1C9-706AB89C7E62}"/>
                </a:ext>
              </a:extLst>
            </xdr:cNvPr>
            <xdr:cNvGraphicFramePr/>
          </xdr:nvGraphicFramePr>
          <xdr:xfrm>
            <a:off x="0" y="0"/>
            <a:ext cx="0" cy="0"/>
          </xdr:xfrm>
          <a:graphic>
            <a:graphicData uri="http://schemas.microsoft.com/office/drawing/2010/slicer">
              <sle:slicer xmlns:sle="http://schemas.microsoft.com/office/drawing/2010/slicer" name="Miles / Year 1"/>
            </a:graphicData>
          </a:graphic>
        </xdr:graphicFrame>
      </mc:Choice>
      <mc:Fallback xmlns="">
        <xdr:sp macro="" textlink="">
          <xdr:nvSpPr>
            <xdr:cNvPr id="0" name=""/>
            <xdr:cNvSpPr>
              <a:spLocks noTextEdit="1"/>
            </xdr:cNvSpPr>
          </xdr:nvSpPr>
          <xdr:spPr>
            <a:xfrm>
              <a:off x="9772650" y="8582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63</xdr:row>
      <xdr:rowOff>0</xdr:rowOff>
    </xdr:from>
    <xdr:to>
      <xdr:col>4</xdr:col>
      <xdr:colOff>209550</xdr:colOff>
      <xdr:row>76</xdr:row>
      <xdr:rowOff>76200</xdr:rowOff>
    </xdr:to>
    <xdr:pic>
      <xdr:nvPicPr>
        <xdr:cNvPr id="23" name="Picture 22">
          <a:extLst>
            <a:ext uri="{FF2B5EF4-FFF2-40B4-BE49-F238E27FC236}">
              <a16:creationId xmlns:a16="http://schemas.microsoft.com/office/drawing/2014/main" id="{C6F69E59-9627-4D24-B64A-84FC67C0598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2001500"/>
          <a:ext cx="2647950"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61</xdr:row>
      <xdr:rowOff>1</xdr:rowOff>
    </xdr:from>
    <xdr:to>
      <xdr:col>13</xdr:col>
      <xdr:colOff>0</xdr:colOff>
      <xdr:row>76</xdr:row>
      <xdr:rowOff>1</xdr:rowOff>
    </xdr:to>
    <xdr:graphicFrame macro="">
      <xdr:nvGraphicFramePr>
        <xdr:cNvPr id="24" name="Chart 23">
          <a:extLst>
            <a:ext uri="{FF2B5EF4-FFF2-40B4-BE49-F238E27FC236}">
              <a16:creationId xmlns:a16="http://schemas.microsoft.com/office/drawing/2014/main" id="{94CF319D-BD02-4696-9452-BF97FFB94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9525</xdr:colOff>
      <xdr:row>61</xdr:row>
      <xdr:rowOff>9525</xdr:rowOff>
    </xdr:from>
    <xdr:to>
      <xdr:col>16</xdr:col>
      <xdr:colOff>9525</xdr:colOff>
      <xdr:row>74</xdr:row>
      <xdr:rowOff>57150</xdr:rowOff>
    </xdr:to>
    <mc:AlternateContent xmlns:mc="http://schemas.openxmlformats.org/markup-compatibility/2006" xmlns:a14="http://schemas.microsoft.com/office/drawing/2010/main">
      <mc:Choice Requires="a14">
        <xdr:graphicFrame macro="">
          <xdr:nvGraphicFramePr>
            <xdr:cNvPr id="6" name="Car ID 1">
              <a:extLst>
                <a:ext uri="{FF2B5EF4-FFF2-40B4-BE49-F238E27FC236}">
                  <a16:creationId xmlns:a16="http://schemas.microsoft.com/office/drawing/2014/main" id="{E1C171FB-2E61-499A-ABA4-DDB03FC03096}"/>
                </a:ext>
              </a:extLst>
            </xdr:cNvPr>
            <xdr:cNvGraphicFramePr/>
          </xdr:nvGraphicFramePr>
          <xdr:xfrm>
            <a:off x="0" y="0"/>
            <a:ext cx="0" cy="0"/>
          </xdr:xfrm>
          <a:graphic>
            <a:graphicData uri="http://schemas.microsoft.com/office/drawing/2010/slicer">
              <sle:slicer xmlns:sle="http://schemas.microsoft.com/office/drawing/2010/slicer" name="Car ID 1"/>
            </a:graphicData>
          </a:graphic>
        </xdr:graphicFrame>
      </mc:Choice>
      <mc:Fallback xmlns="">
        <xdr:sp macro="" textlink="">
          <xdr:nvSpPr>
            <xdr:cNvPr id="0" name=""/>
            <xdr:cNvSpPr>
              <a:spLocks noTextEdit="1"/>
            </xdr:cNvSpPr>
          </xdr:nvSpPr>
          <xdr:spPr>
            <a:xfrm>
              <a:off x="7934325" y="1163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61</xdr:row>
      <xdr:rowOff>9525</xdr:rowOff>
    </xdr:from>
    <xdr:to>
      <xdr:col>19</xdr:col>
      <xdr:colOff>9525</xdr:colOff>
      <xdr:row>74</xdr:row>
      <xdr:rowOff>57150</xdr:rowOff>
    </xdr:to>
    <mc:AlternateContent xmlns:mc="http://schemas.openxmlformats.org/markup-compatibility/2006" xmlns:a14="http://schemas.microsoft.com/office/drawing/2010/main">
      <mc:Choice Requires="a14">
        <xdr:graphicFrame macro="">
          <xdr:nvGraphicFramePr>
            <xdr:cNvPr id="8" name="Color">
              <a:extLst>
                <a:ext uri="{FF2B5EF4-FFF2-40B4-BE49-F238E27FC236}">
                  <a16:creationId xmlns:a16="http://schemas.microsoft.com/office/drawing/2014/main" id="{981C8681-B641-49B3-A6EE-838843EF3B03}"/>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9763125" y="1163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390524</xdr:colOff>
      <xdr:row>77</xdr:row>
      <xdr:rowOff>47625</xdr:rowOff>
    </xdr:from>
    <xdr:ext cx="5791201" cy="4898264"/>
    <xdr:sp macro="" textlink="">
      <xdr:nvSpPr>
        <xdr:cNvPr id="9" name="TextBox 8">
          <a:extLst>
            <a:ext uri="{FF2B5EF4-FFF2-40B4-BE49-F238E27FC236}">
              <a16:creationId xmlns:a16="http://schemas.microsoft.com/office/drawing/2014/main" id="{69570FAD-9D49-4204-A255-E3E92D11B61F}"/>
            </a:ext>
          </a:extLst>
        </xdr:cNvPr>
        <xdr:cNvSpPr txBox="1"/>
      </xdr:nvSpPr>
      <xdr:spPr>
        <a:xfrm>
          <a:off x="2828924" y="14716125"/>
          <a:ext cx="5791201" cy="4898264"/>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600">
              <a:solidFill>
                <a:schemeClr val="bg1"/>
              </a:solidFill>
            </a:rPr>
            <a:t>KEY POINT FROM</a:t>
          </a:r>
          <a:r>
            <a:rPr lang="en-US" sz="1600" baseline="0">
              <a:solidFill>
                <a:schemeClr val="bg1"/>
              </a:solidFill>
            </a:rPr>
            <a:t> THE DATASET</a:t>
          </a:r>
        </a:p>
        <a:p>
          <a:pPr algn="l"/>
          <a:r>
            <a:rPr lang="en-US" sz="1400">
              <a:solidFill>
                <a:schemeClr val="bg1"/>
              </a:solidFill>
            </a:rPr>
            <a:t>Provide and answer 5 Business questions from this Dataset</a:t>
          </a:r>
        </a:p>
        <a:p>
          <a:r>
            <a:rPr lang="en-US" sz="1400">
              <a:solidFill>
                <a:schemeClr val="bg1"/>
              </a:solidFill>
            </a:rPr>
            <a:t>1. Which car model has the highest total miles driven?</a:t>
          </a:r>
        </a:p>
        <a:p>
          <a:r>
            <a:rPr lang="en-US" sz="1400">
              <a:solidFill>
                <a:schemeClr val="bg1"/>
              </a:solidFill>
            </a:rPr>
            <a:t>Ans: CAM model has the highest driven miles</a:t>
          </a:r>
        </a:p>
        <a:p>
          <a:r>
            <a:rPr lang="en-US" sz="1400">
              <a:solidFill>
                <a:schemeClr val="bg1"/>
              </a:solidFill>
            </a:rPr>
            <a:t>2. What is the average miles per year for each car manufacturer?</a:t>
          </a:r>
        </a:p>
        <a:p>
          <a:r>
            <a:rPr lang="en-US" sz="1400">
              <a:solidFill>
                <a:schemeClr val="bg1"/>
              </a:solidFill>
            </a:rPr>
            <a:t>Ans:</a:t>
          </a:r>
          <a:r>
            <a:rPr lang="en-US" sz="1400" baseline="0">
              <a:solidFill>
                <a:schemeClr val="bg1"/>
              </a:solidFill>
            </a:rPr>
            <a:t> Chrysler= 2782.1</a:t>
          </a:r>
        </a:p>
        <a:p>
          <a:r>
            <a:rPr lang="en-US" sz="1400" baseline="0">
              <a:solidFill>
                <a:schemeClr val="bg1"/>
              </a:solidFill>
            </a:rPr>
            <a:t>         Ford= 2151.6</a:t>
          </a:r>
        </a:p>
        <a:p>
          <a:r>
            <a:rPr lang="en-US" sz="1400" baseline="0">
              <a:solidFill>
                <a:schemeClr val="bg1"/>
              </a:solidFill>
            </a:rPr>
            <a:t>         General Number =2159.3</a:t>
          </a:r>
        </a:p>
        <a:p>
          <a:r>
            <a:rPr lang="en-US" sz="1400" baseline="0">
              <a:solidFill>
                <a:schemeClr val="bg1"/>
              </a:solidFill>
            </a:rPr>
            <a:t>         Honda=2215.3</a:t>
          </a:r>
        </a:p>
        <a:p>
          <a:r>
            <a:rPr lang="en-US" sz="1400" baseline="0">
              <a:solidFill>
                <a:schemeClr val="bg1"/>
              </a:solidFill>
            </a:rPr>
            <a:t>         Hyundai =1831.7</a:t>
          </a:r>
        </a:p>
        <a:p>
          <a:r>
            <a:rPr lang="en-US" sz="1400" baseline="0">
              <a:solidFill>
                <a:schemeClr val="bg1"/>
              </a:solidFill>
            </a:rPr>
            <a:t>         Toyota =2852.2</a:t>
          </a:r>
        </a:p>
        <a:p>
          <a:r>
            <a:rPr lang="en-US" sz="1400" baseline="0">
              <a:solidFill>
                <a:schemeClr val="bg1"/>
              </a:solidFill>
            </a:rPr>
            <a:t>3. What percentage of cars are covered under warranty?</a:t>
          </a:r>
        </a:p>
        <a:p>
          <a:r>
            <a:rPr lang="en-US" sz="1400" baseline="0">
              <a:solidFill>
                <a:schemeClr val="bg1"/>
              </a:solidFill>
            </a:rPr>
            <a:t>Ans: 92.31%</a:t>
          </a:r>
        </a:p>
        <a:p>
          <a:r>
            <a:rPr lang="en-US" sz="1400" baseline="0">
              <a:solidFill>
                <a:schemeClr val="bg1"/>
              </a:solidFill>
            </a:rPr>
            <a:t>4. Which car model has the lowest average miles per year?</a:t>
          </a:r>
        </a:p>
        <a:p>
          <a:r>
            <a:rPr lang="en-US" sz="1400" baseline="0">
              <a:solidFill>
                <a:schemeClr val="bg1"/>
              </a:solidFill>
            </a:rPr>
            <a:t>Ans: CMR has the lowest average miles per year with 1524</a:t>
          </a:r>
        </a:p>
        <a:p>
          <a:r>
            <a:rPr lang="en-US" sz="1400" baseline="0">
              <a:solidFill>
                <a:schemeClr val="bg1"/>
              </a:solidFill>
            </a:rPr>
            <a:t>5. What is the distribution of cars by color?</a:t>
          </a:r>
        </a:p>
        <a:p>
          <a:r>
            <a:rPr lang="en-US" sz="1400" baseline="0">
              <a:solidFill>
                <a:schemeClr val="bg1"/>
              </a:solidFill>
            </a:rPr>
            <a:t>Ans: Black =24</a:t>
          </a:r>
        </a:p>
        <a:p>
          <a:r>
            <a:rPr lang="en-US" sz="1400" baseline="0">
              <a:solidFill>
                <a:schemeClr val="bg1"/>
              </a:solidFill>
            </a:rPr>
            <a:t>         Blue =8</a:t>
          </a:r>
        </a:p>
        <a:p>
          <a:r>
            <a:rPr lang="en-US" sz="1400" baseline="0">
              <a:solidFill>
                <a:schemeClr val="bg1"/>
              </a:solidFill>
            </a:rPr>
            <a:t>         Green =7</a:t>
          </a:r>
        </a:p>
        <a:p>
          <a:r>
            <a:rPr lang="en-US" sz="1400" baseline="0">
              <a:solidFill>
                <a:schemeClr val="bg1"/>
              </a:solidFill>
            </a:rPr>
            <a:t>         Red =2</a:t>
          </a:r>
        </a:p>
        <a:p>
          <a:r>
            <a:rPr lang="en-US" sz="1400" baseline="0">
              <a:solidFill>
                <a:schemeClr val="bg1"/>
              </a:solidFill>
            </a:rPr>
            <a:t>         White =11</a:t>
          </a:r>
        </a:p>
        <a:p>
          <a:endParaRPr lang="en-US" sz="1100">
            <a:solidFill>
              <a:schemeClr val="bg1"/>
            </a:solidFill>
          </a:endParaRPr>
        </a:p>
      </xdr:txBody>
    </xdr:sp>
    <xdr:clientData/>
  </xdr:oneCellAnchor>
  <xdr:twoCellAnchor editAs="oneCell">
    <xdr:from>
      <xdr:col>0</xdr:col>
      <xdr:colOff>66674</xdr:colOff>
      <xdr:row>16</xdr:row>
      <xdr:rowOff>123825</xdr:rowOff>
    </xdr:from>
    <xdr:to>
      <xdr:col>4</xdr:col>
      <xdr:colOff>142875</xdr:colOff>
      <xdr:row>29</xdr:row>
      <xdr:rowOff>142875</xdr:rowOff>
    </xdr:to>
    <xdr:pic>
      <xdr:nvPicPr>
        <xdr:cNvPr id="27" name="Picture 26">
          <a:extLst>
            <a:ext uri="{FF2B5EF4-FFF2-40B4-BE49-F238E27FC236}">
              <a16:creationId xmlns:a16="http://schemas.microsoft.com/office/drawing/2014/main" id="{2C7A0749-72D1-44F3-9738-1B2A19759BB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6674" y="3171825"/>
          <a:ext cx="2514601"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0</xdr:colOff>
      <xdr:row>19</xdr:row>
      <xdr:rowOff>0</xdr:rowOff>
    </xdr:to>
    <xdr:graphicFrame macro="">
      <xdr:nvGraphicFramePr>
        <xdr:cNvPr id="2" name="Chart 1">
          <a:extLst>
            <a:ext uri="{FF2B5EF4-FFF2-40B4-BE49-F238E27FC236}">
              <a16:creationId xmlns:a16="http://schemas.microsoft.com/office/drawing/2014/main" id="{8F34F497-E370-4F18-BB93-57B3B69EC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44</xdr:row>
      <xdr:rowOff>0</xdr:rowOff>
    </xdr:from>
    <xdr:to>
      <xdr:col>12</xdr:col>
      <xdr:colOff>0</xdr:colOff>
      <xdr:row>59</xdr:row>
      <xdr:rowOff>0</xdr:rowOff>
    </xdr:to>
    <xdr:graphicFrame macro="">
      <xdr:nvGraphicFramePr>
        <xdr:cNvPr id="3" name="Chart 2">
          <a:extLst>
            <a:ext uri="{FF2B5EF4-FFF2-40B4-BE49-F238E27FC236}">
              <a16:creationId xmlns:a16="http://schemas.microsoft.com/office/drawing/2014/main" id="{97D39AFD-7CD5-4566-91E2-28F6E0507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84.825928935184" createdVersion="7" refreshedVersion="7" minRefreshableVersion="3" recordCount="20" xr:uid="{D5994CBD-94C8-4E85-A679-EABC9B8A2D68}">
  <cacheSource type="worksheet">
    <worksheetSource name="Table2"/>
  </cacheSource>
  <cacheFields count="12">
    <cacheField name="S/No" numFmtId="0">
      <sharedItems containsSemiMixedTypes="0" containsString="0" containsNumber="1" containsInteger="1" minValue="1" maxValue="20" count="20">
        <n v="1"/>
        <n v="2"/>
        <n v="3"/>
        <n v="4"/>
        <n v="5"/>
        <n v="6"/>
        <n v="7"/>
        <n v="8"/>
        <n v="9"/>
        <n v="10"/>
        <n v="11"/>
        <n v="12"/>
        <n v="13"/>
        <n v="14"/>
        <n v="15"/>
        <n v="16"/>
        <n v="17"/>
        <n v="18"/>
        <n v="19"/>
        <n v="20"/>
      </sharedItems>
    </cacheField>
    <cacheField name="Name" numFmtId="0">
      <sharedItems count="20">
        <s v="James Olaosebikan"/>
        <s v="Abdulrahman Sofiah"/>
        <s v="Oyeyemi Esther"/>
        <s v="Adebayo Rosemary"/>
        <s v="Abdulateef Aisha"/>
        <s v="Ilesanmi Peter"/>
        <s v="Abdulahi Sheriff "/>
        <s v="Olanrewaju Quadri"/>
        <s v="Festus Oriyomi"/>
        <s v="Oseni Temitope"/>
        <s v="Fasasi Abdullateef"/>
        <s v="Sonoiki Yusuf"/>
        <s v="Lawal Feranmi"/>
        <s v="Otunola Fadekemi"/>
        <s v="Adebayo Adeola"/>
        <s v="Otunba Adeyemi"/>
        <s v="Ibrahim Kaosara"/>
        <s v="Ayomide Komolafe"/>
        <s v="Omotara Johnson"/>
        <s v="Mide Martins"/>
      </sharedItems>
    </cacheField>
    <cacheField name="Age" numFmtId="0">
      <sharedItems containsSemiMixedTypes="0" containsString="0" containsNumber="1" containsInteger="1" minValue="15" maxValue="41"/>
    </cacheField>
    <cacheField name="Pre-interview score" numFmtId="0">
      <sharedItems containsSemiMixedTypes="0" containsString="0" containsNumber="1" containsInteger="1" minValue="22" maxValue="99"/>
    </cacheField>
    <cacheField name="Grade point" numFmtId="0">
      <sharedItems containsSemiMixedTypes="0" containsString="0" containsNumber="1" minValue="0" maxValue="5"/>
    </cacheField>
    <cacheField name="Qualification" numFmtId="0">
      <sharedItems/>
    </cacheField>
    <cacheField name="State" numFmtId="0">
      <sharedItems count="8">
        <s v="Enugu"/>
        <s v="Kwara"/>
        <s v="Oyo"/>
        <s v="Osun"/>
        <s v="Lagos"/>
        <s v="Port-Harcourt"/>
        <s v="Baylsa"/>
        <s v="Kaduna"/>
      </sharedItems>
    </cacheField>
    <cacheField name="Applicant Status" numFmtId="0">
      <sharedItems count="2">
        <s v="Not Hired"/>
        <s v="Hired"/>
      </sharedItems>
    </cacheField>
    <cacheField name="Position" numFmtId="0">
      <sharedItems/>
    </cacheField>
    <cacheField name="Salary" numFmtId="170">
      <sharedItems containsMixedTypes="1" containsNumber="1" containsInteger="1" minValue="321150" maxValue="447250"/>
    </cacheField>
    <cacheField name="Salary Remaining" numFmtId="171">
      <sharedItems containsMixedTypes="1" containsNumber="1" containsInteger="1" minValue="312800" maxValue="438900"/>
    </cacheField>
    <cacheField name="Compensation Money" numFmtId="170">
      <sharedItems containsSemiMixedTypes="0" containsString="0" containsNumber="1" containsInteger="1" minValue="0" maxValue="6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01367476852" backgroundQuery="1" createdVersion="7" refreshedVersion="7" minRefreshableVersion="3" recordCount="0" supportSubquery="1" supportAdvancedDrill="1" xr:uid="{F68C89F9-E531-4CAA-BE09-BCB4BF50D8C2}">
  <cacheSource type="external" connectionId="2"/>
  <cacheFields count="2">
    <cacheField name="[Table1].[Prouct Description].[Prouct Description]" caption="Prouct Description" numFmtId="0" hierarchy="17" level="1">
      <sharedItems count="1">
        <s v="Pasta"/>
      </sharedItems>
    </cacheField>
    <cacheField name="[Measures].[Sum of Total Profit]" caption="Sum of Total Profit" numFmtId="0" hierarchy="31"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0"/>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oneField="1" hidden="1">
      <fieldsUsage count="1">
        <fieldUsage x="1"/>
      </fieldsUsage>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04973611113" backgroundQuery="1" createdVersion="7" refreshedVersion="7" minRefreshableVersion="3" recordCount="0" supportSubquery="1" supportAdvancedDrill="1" xr:uid="{C4B99BF1-8AE5-41FA-BFF7-31CFD1B5C182}">
  <cacheSource type="external" connectionId="2"/>
  <cacheFields count="4">
    <cacheField name="[Table1].[Prouct Description].[Prouct Description]" caption="Prouct Description" numFmtId="0" hierarchy="17" level="1">
      <sharedItems count="1">
        <s v="Pasta"/>
      </sharedItems>
    </cacheField>
    <cacheField name="[Table1].[Sales Person].[Sales Person]" caption="Sales Person" numFmtId="0" hierarchy="26" level="1">
      <sharedItems count="1">
        <s v="Jide"/>
      </sharedItems>
    </cacheField>
    <cacheField name="[Table1].[Sales Location].[Sales Location]" caption="Sales Location" numFmtId="0" hierarchy="25" level="1">
      <sharedItems count="3">
        <s v="Oja"/>
        <s v="Taiwo"/>
        <s v="Tanke"/>
      </sharedItems>
    </cacheField>
    <cacheField name="[Measures].[Sum of Total Profit]" caption="Sum of Total Profit" numFmtId="0" hierarchy="31"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0"/>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2" memberValueDatatype="130" unbalanced="0">
      <fieldsUsage count="2">
        <fieldUsage x="-1"/>
        <fieldUsage x="2"/>
      </fieldsUsage>
    </cacheHierarchy>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oneField="1" hidden="1">
      <fieldsUsage count="1">
        <fieldUsage x="3"/>
      </fieldsUsage>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025724537" backgroundQuery="1" createdVersion="7" refreshedVersion="7" minRefreshableVersion="3" recordCount="0" supportSubquery="1" supportAdvancedDrill="1" xr:uid="{8204B961-434C-4B57-A5E6-03F5AB617303}">
  <cacheSource type="external" connectionId="2"/>
  <cacheFields count="3">
    <cacheField name="[Table1].[Prouct Description].[Prouct Description]" caption="Prouct Description" numFmtId="0" hierarchy="17" level="1">
      <sharedItems count="1">
        <s v="Pasta"/>
      </sharedItems>
    </cacheField>
    <cacheField name="[Table1].[Sales Person].[Sales Person]" caption="Sales Person" numFmtId="0" hierarchy="26" level="1">
      <sharedItems count="1">
        <s v="Jide"/>
      </sharedItems>
    </cacheField>
    <cacheField name="[Measures].[Sum of Commission]" caption="Sum of Commission" numFmtId="0" hierarchy="32"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0"/>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10970370374" backgroundQuery="1" createdVersion="7" refreshedVersion="7" minRefreshableVersion="3" recordCount="0" supportSubquery="1" supportAdvancedDrill="1" xr:uid="{328582E6-AABA-47C3-9D8B-B9B98D4A5F18}">
  <cacheSource type="external" connectionId="2"/>
  <cacheFields count="4">
    <cacheField name="[Table1].[Sales Person].[Sales Person]" caption="Sales Person" numFmtId="0" hierarchy="26" level="1">
      <sharedItems count="1">
        <s v="Jide"/>
      </sharedItems>
    </cacheField>
    <cacheField name="[Table1].[Sales Location].[Sales Location]" caption="Sales Location" numFmtId="0" hierarchy="25" level="1">
      <sharedItems count="3">
        <s v="Oja"/>
        <s v="Taiwo"/>
        <s v="Tanke"/>
      </sharedItems>
    </cacheField>
    <cacheField name="[Table1].[Prouct Description].[Prouct Description]" caption="Prouct Description" numFmtId="0" hierarchy="17" level="1">
      <sharedItems count="1">
        <s v="Bread"/>
      </sharedItems>
    </cacheField>
    <cacheField name="[Measures].[Sum of Quantity]" caption="Sum of Quantity" numFmtId="0" hierarchy="34"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2"/>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2" memberValueDatatype="130" unbalanced="0">
      <fieldsUsage count="2">
        <fieldUsage x="-1"/>
        <fieldUsage x="1"/>
      </fieldsUsage>
    </cacheHierarchy>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oneField="1" hidden="1">
      <fieldsUsage count="1">
        <fieldUsage x="3"/>
      </fieldsUsage>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09562037037" backgroundQuery="1" createdVersion="7" refreshedVersion="7" minRefreshableVersion="3" recordCount="0" supportSubquery="1" supportAdvancedDrill="1" xr:uid="{42BE35A2-0A89-46D0-B3C6-569075AEF0F0}">
  <cacheSource type="external" connectionId="2"/>
  <cacheFields count="3">
    <cacheField name="[Table1].[Sales Person].[Sales Person]" caption="Sales Person" numFmtId="0" hierarchy="26" level="1">
      <sharedItems count="1">
        <s v="Jide"/>
      </sharedItems>
    </cacheField>
    <cacheField name="[Table1].[Month].[Month]" caption="Month" numFmtId="0" hierarchy="15" level="1">
      <sharedItems count="12">
        <s v="Apr"/>
        <s v="Aug"/>
        <s v="Dec"/>
        <s v="Feb"/>
        <s v="Jan"/>
        <s v="July"/>
        <s v="June"/>
        <s v="Mar"/>
        <s v="May"/>
        <s v="Nov"/>
        <s v="Oct"/>
        <s v="Sep"/>
      </sharedItems>
    </cacheField>
    <cacheField name="[Measures].[Sum of Total Sales Price]" caption="Sum of Total Sales Price" numFmtId="0" hierarchy="33"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2" memberValueDatatype="130" unbalanced="0">
      <fieldsUsage count="2">
        <fieldUsage x="-1"/>
        <fieldUsage x="1"/>
      </fieldsUsage>
    </cacheHierarchy>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0" memberValueDatatype="130" unbalanced="0"/>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oneField="1" hidden="1">
      <fieldsUsage count="1">
        <fieldUsage x="2"/>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06790625" backgroundQuery="1" createdVersion="7" refreshedVersion="7" minRefreshableVersion="3" recordCount="0" supportSubquery="1" supportAdvancedDrill="1" xr:uid="{A30B9374-3D32-4883-B0A2-394852D3AC30}">
  <cacheSource type="external" connectionId="2"/>
  <cacheFields count="3">
    <cacheField name="[Table1].[Prouct Description].[Prouct Description]" caption="Prouct Description" numFmtId="0" hierarchy="17" level="1">
      <sharedItems count="10">
        <s v="Beans"/>
        <s v="Bread"/>
        <s v="Garri"/>
        <s v="Noodles"/>
        <s v="Pasta"/>
        <s v="Plantain"/>
        <s v="Rice"/>
        <s v="Semolina"/>
        <s v="Veg.Oil"/>
        <s v="Wheat"/>
      </sharedItems>
    </cacheField>
    <cacheField name="[Table1].[Sales Person].[Sales Person]" caption="Sales Person" numFmtId="0" hierarchy="26" level="1">
      <sharedItems count="1">
        <s v="Jide"/>
      </sharedItems>
    </cacheField>
    <cacheField name="[Measures].[Sum of Total Profit]" caption="Sum of Total Profit" numFmtId="0" hierarchy="31"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0"/>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4.623327430556" backgroundQuery="1" createdVersion="7" refreshedVersion="7" minRefreshableVersion="3" recordCount="0" supportSubquery="1" supportAdvancedDrill="1" xr:uid="{E50B7F83-B1E4-40FF-936A-389FAAA0BCF6}">
  <cacheSource type="external" connectionId="2"/>
  <cacheFields count="4">
    <cacheField name="[Table1].[Sales Person].[Sales Person]" caption="Sales Person" numFmtId="0" hierarchy="26" level="1">
      <sharedItems count="1">
        <s v="Jide"/>
      </sharedItems>
    </cacheField>
    <cacheField name="[Table1].[Prouct Description].[Prouct Description]" caption="Prouct Description" numFmtId="0" hierarchy="17" level="1">
      <sharedItems count="1">
        <s v="Bread"/>
      </sharedItems>
    </cacheField>
    <cacheField name="[Table1].[Month].[Month]" caption="Month" numFmtId="0" hierarchy="15" level="1">
      <sharedItems count="12">
        <s v="Apr"/>
        <s v="Aug"/>
        <s v="Dec"/>
        <s v="Feb"/>
        <s v="Jan"/>
        <s v="July"/>
        <s v="June"/>
        <s v="Mar"/>
        <s v="May"/>
        <s v="Nov"/>
        <s v="Oct"/>
        <s v="Sep"/>
      </sharedItems>
    </cacheField>
    <cacheField name="[Measures].[Sum of Total Sales Price]" caption="Sum of Total Sales Price" numFmtId="0" hierarchy="33"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2" memberValueDatatype="130" unbalanced="0">
      <fieldsUsage count="2">
        <fieldUsage x="-1"/>
        <fieldUsage x="2"/>
      </fieldsUsage>
    </cacheHierarchy>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1"/>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4.619404282406" backgroundQuery="1" createdVersion="7" refreshedVersion="7" minRefreshableVersion="3" recordCount="0" supportSubquery="1" supportAdvancedDrill="1" xr:uid="{3CA832C7-8AA3-49EB-805E-971E97FF11FF}">
  <cacheSource type="external" connectionId="2"/>
  <cacheFields count="4">
    <cacheField name="[Table1].[Sales Person].[Sales Person]" caption="Sales Person" numFmtId="0" hierarchy="26" level="1">
      <sharedItems count="1">
        <s v="Jide"/>
      </sharedItems>
    </cacheField>
    <cacheField name="[Table1].[Prouct Description].[Prouct Description]" caption="Prouct Description" numFmtId="0" hierarchy="17" level="1">
      <sharedItems count="10">
        <s v="Beans"/>
        <s v="Bread"/>
        <s v="Garri"/>
        <s v="Noodles"/>
        <s v="Pasta"/>
        <s v="Plantain"/>
        <s v="Rice"/>
        <s v="Semolina"/>
        <s v="Veg.Oil"/>
        <s v="Wheat"/>
      </sharedItems>
    </cacheField>
    <cacheField name="[Measures].[Sum of Quantity]" caption="Sum of Quantity" numFmtId="0" hierarchy="34" level="32767"/>
    <cacheField name="[Table1].[Sales Location].[Sales Location]" caption="Sales Location" numFmtId="0" hierarchy="25" level="1">
      <sharedItems count="3">
        <s v="Oja"/>
        <s v="Taiwo"/>
        <s v="Tanke"/>
      </sharedItems>
    </cacheField>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1"/>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2" memberValueDatatype="130" unbalanced="0">
      <fieldsUsage count="2">
        <fieldUsage x="-1"/>
        <fieldUsage x="3"/>
      </fieldsUsage>
    </cacheHierarchy>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oneField="1" hidden="1">
      <fieldsUsage count="1">
        <fieldUsage x="2"/>
      </fieldsUsage>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3.821185185188" backgroundQuery="1" createdVersion="7" refreshedVersion="7" minRefreshableVersion="3" recordCount="0" supportSubquery="1" supportAdvancedDrill="1" xr:uid="{1ACB3909-5455-4B29-902C-9C26C39DC0EA}">
  <cacheSource type="external" connectionId="2"/>
  <cacheFields count="4">
    <cacheField name="[Table1].[Sales Person].[Sales Person]" caption="Sales Person" numFmtId="0" hierarchy="26" level="1">
      <sharedItems count="1">
        <s v="Jide"/>
      </sharedItems>
    </cacheField>
    <cacheField name="[Table1].[Prouct Description].[Prouct Description]" caption="Prouct Description" numFmtId="0" hierarchy="17" level="1">
      <sharedItems count="1">
        <s v="Bread"/>
      </sharedItems>
    </cacheField>
    <cacheField name="[Measures].[Sum of Total Profit]" caption="Sum of Total Profit" numFmtId="0" hierarchy="31" level="32767"/>
    <cacheField name="[Table1].[Month].[Month]" caption="Month" numFmtId="0" hierarchy="15" level="1">
      <sharedItems count="12">
        <s v="Apr"/>
        <s v="Aug"/>
        <s v="Dec"/>
        <s v="Feb"/>
        <s v="Jan"/>
        <s v="July"/>
        <s v="June"/>
        <s v="Mar"/>
        <s v="May"/>
        <s v="Nov"/>
        <s v="Oct"/>
        <s v="Sep"/>
      </sharedItems>
    </cacheField>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2" memberValueDatatype="130" unbalanced="0">
      <fieldsUsage count="2">
        <fieldUsage x="-1"/>
        <fieldUsage x="3"/>
      </fieldsUsage>
    </cacheHierarchy>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1"/>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4.637196875003" backgroundQuery="1" createdVersion="7" refreshedVersion="7" minRefreshableVersion="3" recordCount="0" supportSubquery="1" supportAdvancedDrill="1" xr:uid="{C06B36EF-549A-40D1-B6D8-E7F91BAC005C}">
  <cacheSource type="external" connectionId="2"/>
  <cacheFields count="3">
    <cacheField name="[Table1].[Sales Person].[Sales Person]" caption="Sales Person" numFmtId="0" hierarchy="26" level="1">
      <sharedItems count="2">
        <s v="Jide"/>
        <s v="Tolu"/>
      </sharedItems>
    </cacheField>
    <cacheField name="[Table1].[Prouct Description].[Prouct Description]" caption="Prouct Description" numFmtId="0" hierarchy="17" level="1">
      <sharedItems count="1">
        <s v="Bread"/>
      </sharedItems>
    </cacheField>
    <cacheField name="[Measures].[Sum of Total Profit]" caption="Sum of Total Profit" numFmtId="0" hierarchy="31" level="32767"/>
  </cacheFields>
  <cacheHierarchies count="39">
    <cacheHierarchy uniqueName="[Range].[Car ID]" caption="Car ID" attribute="1" defaultMemberUniqueName="[Range].[Car ID].[All]" allUniqueName="[Range].[Car ID].[All]" dimensionUniqueName="[Range]" displayFolder="" count="0"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0" memberValueDatatype="130" unbalanced="0"/>
    <cacheHierarchy uniqueName="[Range].[Model]" caption="Model" attribute="1" defaultMemberUniqueName="[Range].[Model].[All]" allUniqueName="[Range].[Model].[All]" dimensionUniqueName="[Range]" displayFolder="" count="0" memberValueDatatype="130" unbalanced="0"/>
    <cacheHierarchy uniqueName="[Range].[Model (Full Name)]" caption="Model (Full Name)" attribute="1" defaultMemberUniqueName="[Range].[Model (Full Name)].[All]" allUniqueName="[Range].[Model (Full Name)].[All]" dimensionUniqueName="[Range]" displayFolder="" count="0" memberValueDatatype="130" unbalanced="0"/>
    <cacheHierarchy uniqueName="[Range].[Manufacture Year]" caption="Manufacture Year" attribute="1" defaultMemberUniqueName="[Range].[Manufacture Year].[All]" allUniqueName="[Range].[Manufacture Yea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0" memberValueDatatype="5" unbalanced="0"/>
    <cacheHierarchy uniqueName="[Range].[Miles / Year]" caption="Miles / Year" attribute="1" defaultMemberUniqueName="[Range].[Miles / Year].[All]" allUniqueName="[Range].[Miles / Year].[All]" dimensionUniqueName="[Range]" displayFolder="" count="0" memberValueDatatype="5" unbalanced="0"/>
    <cacheHierarchy uniqueName="[Range].[Color]" caption="Color" attribute="1" defaultMemberUniqueName="[Range].[Color].[All]" allUniqueName="[Range].[Color].[All]" dimensionUniqueName="[Range]" displayFolder="" count="0"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0" memberValueDatatype="20" unbalanced="0"/>
    <cacheHierarchy uniqueName="[Range].[Covered?]" caption="Covered?" attribute="1" defaultMemberUniqueName="[Range].[Covered?].[All]" allUniqueName="[Range].[Covered?].[All]" dimensionUniqueName="[Range]" displayFolder="" count="0"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fieldsUsage count="2">
        <fieldUsage x="-1"/>
        <fieldUsage x="1"/>
      </fieldsUsage>
    </cacheHierarchy>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oneField="1" hidden="1">
      <fieldsUsage count="1">
        <fieldUsage x="2"/>
      </fieldsUsage>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7.478299884257" backgroundQuery="1" createdVersion="7" refreshedVersion="7" minRefreshableVersion="3" recordCount="0" supportSubquery="1" supportAdvancedDrill="1" xr:uid="{BAA6E010-E8F3-4BAB-A824-F91872FE580B}">
  <cacheSource type="external" connectionId="2"/>
  <cacheFields count="3">
    <cacheField name="[Range].[Model].[Model]" caption="Model" numFmtId="0" hierarchy="3" level="1">
      <sharedItems count="11">
        <s v="CAM"/>
        <s v="CAR"/>
        <s v="CIV"/>
        <s v="CMR"/>
        <s v="COR"/>
        <s v="ELA"/>
        <s v="FCS"/>
        <s v="MTG"/>
        <s v="ODY"/>
        <s v="PTC"/>
        <s v="SLV"/>
      </sharedItems>
    </cacheField>
    <cacheField name="[Measures].[Sum of Miles]" caption="Sum of Miles" numFmtId="0" hierarchy="36" level="32767"/>
    <cacheField name="[Range].[Miles].[Miles]" caption="Miles" numFmtId="0" hierarchy="7" level="1">
      <sharedItems containsSemiMixedTypes="0" containsNonDate="0" containsString="0"/>
    </cacheField>
  </cacheFields>
  <cacheHierarchies count="39">
    <cacheHierarchy uniqueName="[Range].[Car ID]" caption="Car ID" attribute="1" defaultMemberUniqueName="[Range].[Car ID].[All]" allUniqueName="[Range].[Car ID].[All]" dimensionUniqueName="[Range]" displayFolder="" count="2" memberValueDatatype="130" unbalanced="0"/>
    <cacheHierarchy uniqueName="[Range].[Maker]" caption="Maker" attribute="1" defaultMemberUniqueName="[Range].[Maker].[All]" allUniqueName="[Range].[Maker].[All]" dimensionUniqueName="[Range]" displayFolder="" count="2"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cacheHierarchy uniqueName="[Range].[Model]" caption="Model" attribute="1" defaultMemberUniqueName="[Range].[Model].[All]" allUniqueName="[Range].[Model].[All]" dimensionUniqueName="[Range]" displayFolder="" count="2" memberValueDatatype="130" unbalanced="0">
      <fieldsUsage count="2">
        <fieldUsage x="-1"/>
        <fieldUsage x="0"/>
      </fieldsUsage>
    </cacheHierarchy>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Miles]" caption="Miles" attribute="1" defaultMemberUniqueName="[Range].[Miles].[All]" allUniqueName="[Range].[Miles].[All]" dimensionUniqueName="[Range]" displayFolder="" count="2" memberValueDatatype="5" unbalanced="0">
      <fieldsUsage count="2">
        <fieldUsage x="-1"/>
        <fieldUsage x="2"/>
      </fieldsUsage>
    </cacheHierarchy>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cacheHierarchy uniqueName="[Range].[Driver]" caption="Driver" attribute="1" defaultMemberUniqueName="[Range].[Driver].[All]" allUniqueName="[Range].[Driver].[All]" dimensionUniqueName="[Range]" displayFolder="" count="2"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cacheHierarchy uniqueName="[Range].[New Car ID]" caption="New Car ID" attribute="1" defaultMemberUniqueName="[Range].[New Car ID].[All]" allUniqueName="[Range].[New Car ID].[All]" dimensionUniqueName="[Range]" displayFolder="" count="2" memberValueDatatype="130" unbalanced="0"/>
    <cacheHierarchy uniqueName="[Table1].[S/N]" caption="S/N" attribute="1" defaultMemberUniqueName="[Table1].[S/N].[All]" allUniqueName="[Table1].[S/N].[All]" dimensionUniqueName="[Table1]" displayFolder="" count="2" memberValueDatatype="20" unbalanced="0"/>
    <cacheHierarchy uniqueName="[Table1].[Month]" caption="Month" attribute="1" defaultMemberUniqueName="[Table1].[Month].[All]" allUniqueName="[Table1].[Month].[All]" dimensionUniqueName="[Table1]" displayFolder="" count="2" memberValueDatatype="130" unbalanced="0"/>
    <cacheHierarchy uniqueName="[Table1].[Transaction Number]" caption="Transaction Number" attribute="1" defaultMemberUniqueName="[Table1].[Transaction Number].[All]" allUniqueName="[Table1].[Transaction Number].[All]" dimensionUniqueName="[Table1]" displayFolder="" count="2"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cacheHierarchy uniqueName="[Table1].[Store cost]" caption="Store cost" attribute="1" defaultMemberUniqueName="[Table1].[Store cost].[All]" allUniqueName="[Table1].[Store cost].[All]" dimensionUniqueName="[Table1]" displayFolder="" count="2" memberValueDatatype="20" unbalanced="0"/>
    <cacheHierarchy uniqueName="[Table1].[Sales Price]" caption="Sales Price" attribute="1" defaultMemberUniqueName="[Table1].[Sales Price].[All]" allUniqueName="[Table1].[Sales Price].[All]" dimensionUniqueName="[Table1]" displayFolder="" count="2" memberValueDatatype="20" unbalanced="0"/>
    <cacheHierarchy uniqueName="[Table1].[Profit]" caption="Profit" attribute="1" defaultMemberUniqueName="[Table1].[Profit].[All]" allUniqueName="[Table1].[Profit].[All]" dimensionUniqueName="[Table1]" displayFolder="" count="2" memberValueDatatype="20" unbalanced="0"/>
    <cacheHierarchy uniqueName="[Table1].[Quantity]" caption="Quantity" attribute="1" defaultMemberUniqueName="[Table1].[Quantity].[All]" allUniqueName="[Table1].[Quantity].[All]" dimensionUniqueName="[Table1]" displayFolder="" count="2" memberValueDatatype="20" unbalanced="0"/>
    <cacheHierarchy uniqueName="[Table1].[Total Sales Price]" caption="Total Sales Price" attribute="1" defaultMemberUniqueName="[Table1].[Total Sales Price].[All]" allUniqueName="[Table1].[Total Sales Price].[All]" dimensionUniqueName="[Table1]" displayFolder="" count="2" memberValueDatatype="20" unbalanced="0"/>
    <cacheHierarchy uniqueName="[Table1].[Total Profit]" caption="Total Profit" attribute="1" defaultMemberUniqueName="[Table1].[Total Profit].[All]" allUniqueName="[Table1].[Total Profit].[All]" dimensionUniqueName="[Table1]" displayFolder="" count="2" memberValueDatatype="20" unbalanced="0"/>
    <cacheHierarchy uniqueName="[Table1].[Commission]" caption="Commission" attribute="1" defaultMemberUniqueName="[Table1].[Commission].[All]" allUniqueName="[Table1].[Commission].[All]" dimensionUniqueName="[Table1]" displayFolder="" count="2" memberValueDatatype="5" unbalanced="0"/>
    <cacheHierarchy uniqueName="[Table1].[Sales Location]" caption="Sales Location" attribute="1" defaultMemberUniqueName="[Table1].[Sales Location].[All]" allUniqueName="[Table1].[Sales Location].[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7.488332060188" backgroundQuery="1" createdVersion="7" refreshedVersion="7" minRefreshableVersion="3" recordCount="0" supportSubquery="1" supportAdvancedDrill="1" xr:uid="{82C8541C-4935-4781-988B-C154F4F17186}">
  <cacheSource type="external" connectionId="2"/>
  <cacheFields count="2">
    <cacheField name="[Range].[Maker (Full Name)].[Maker (Full Name)]" caption="Maker (Full Name)" numFmtId="0" hierarchy="2" level="1">
      <sharedItems count="6">
        <s v="Chrysler"/>
        <s v="Ford"/>
        <s v="General Number"/>
        <s v="Honda"/>
        <s v="Hyundai"/>
        <s v="Toyota"/>
      </sharedItems>
    </cacheField>
    <cacheField name="[Measures].[Average of Miles / Year]" caption="Average of Miles / Year" numFmtId="0" hierarchy="37" level="32767"/>
  </cacheFields>
  <cacheHierarchies count="39">
    <cacheHierarchy uniqueName="[Range].[Car ID]" caption="Car ID" attribute="1" defaultMemberUniqueName="[Range].[Car ID].[All]" allUniqueName="[Range].[Car ID].[All]" dimensionUniqueName="[Range]" displayFolder="" count="2" memberValueDatatype="130" unbalanced="0"/>
    <cacheHierarchy uniqueName="[Range].[Maker]" caption="Maker" attribute="1" defaultMemberUniqueName="[Range].[Maker].[All]" allUniqueName="[Range].[Maker].[All]" dimensionUniqueName="[Range]" displayFolder="" count="2"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fieldsUsage count="2">
        <fieldUsage x="-1"/>
        <fieldUsage x="0"/>
      </fieldsUsage>
    </cacheHierarchy>
    <cacheHierarchy uniqueName="[Range].[Model]" caption="Model" attribute="1" defaultMemberUniqueName="[Range].[Model].[All]" allUniqueName="[Range].[Model].[All]" dimensionUniqueName="[Range]" displayFolder="" count="2" memberValueDatatype="130" unbalanced="0"/>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Miles]" caption="Miles" attribute="1" defaultMemberUniqueName="[Range].[Miles].[All]" allUniqueName="[Range].[Miles].[All]" dimensionUniqueName="[Range]" displayFolder="" count="2" memberValueDatatype="5" unbalanced="0"/>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cacheHierarchy uniqueName="[Range].[Driver]" caption="Driver" attribute="1" defaultMemberUniqueName="[Range].[Driver].[All]" allUniqueName="[Range].[Driver].[All]" dimensionUniqueName="[Range]" displayFolder="" count="2"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cacheHierarchy uniqueName="[Range].[New Car ID]" caption="New Car ID" attribute="1" defaultMemberUniqueName="[Range].[New Car ID].[All]" allUniqueName="[Range].[New Car ID].[All]" dimensionUniqueName="[Range]" displayFolder="" count="2" memberValueDatatype="130" unbalanced="0"/>
    <cacheHierarchy uniqueName="[Table1].[S/N]" caption="S/N" attribute="1" defaultMemberUniqueName="[Table1].[S/N].[All]" allUniqueName="[Table1].[S/N].[All]" dimensionUniqueName="[Table1]" displayFolder="" count="2" memberValueDatatype="20" unbalanced="0"/>
    <cacheHierarchy uniqueName="[Table1].[Month]" caption="Month" attribute="1" defaultMemberUniqueName="[Table1].[Month].[All]" allUniqueName="[Table1].[Month].[All]" dimensionUniqueName="[Table1]" displayFolder="" count="2" memberValueDatatype="130" unbalanced="0"/>
    <cacheHierarchy uniqueName="[Table1].[Transaction Number]" caption="Transaction Number" attribute="1" defaultMemberUniqueName="[Table1].[Transaction Number].[All]" allUniqueName="[Table1].[Transaction Number].[All]" dimensionUniqueName="[Table1]" displayFolder="" count="2"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cacheHierarchy uniqueName="[Table1].[Store cost]" caption="Store cost" attribute="1" defaultMemberUniqueName="[Table1].[Store cost].[All]" allUniqueName="[Table1].[Store cost].[All]" dimensionUniqueName="[Table1]" displayFolder="" count="2" memberValueDatatype="20" unbalanced="0"/>
    <cacheHierarchy uniqueName="[Table1].[Sales Price]" caption="Sales Price" attribute="1" defaultMemberUniqueName="[Table1].[Sales Price].[All]" allUniqueName="[Table1].[Sales Price].[All]" dimensionUniqueName="[Table1]" displayFolder="" count="2" memberValueDatatype="20" unbalanced="0"/>
    <cacheHierarchy uniqueName="[Table1].[Profit]" caption="Profit" attribute="1" defaultMemberUniqueName="[Table1].[Profit].[All]" allUniqueName="[Table1].[Profit].[All]" dimensionUniqueName="[Table1]" displayFolder="" count="2" memberValueDatatype="20" unbalanced="0"/>
    <cacheHierarchy uniqueName="[Table1].[Quantity]" caption="Quantity" attribute="1" defaultMemberUniqueName="[Table1].[Quantity].[All]" allUniqueName="[Table1].[Quantity].[All]" dimensionUniqueName="[Table1]" displayFolder="" count="2" memberValueDatatype="20" unbalanced="0"/>
    <cacheHierarchy uniqueName="[Table1].[Total Sales Price]" caption="Total Sales Price" attribute="1" defaultMemberUniqueName="[Table1].[Total Sales Price].[All]" allUniqueName="[Table1].[Total Sales Price].[All]" dimensionUniqueName="[Table1]" displayFolder="" count="2" memberValueDatatype="20" unbalanced="0"/>
    <cacheHierarchy uniqueName="[Table1].[Total Profit]" caption="Total Profit" attribute="1" defaultMemberUniqueName="[Table1].[Total Profit].[All]" allUniqueName="[Table1].[Total Profit].[All]" dimensionUniqueName="[Table1]" displayFolder="" count="2" memberValueDatatype="20" unbalanced="0"/>
    <cacheHierarchy uniqueName="[Table1].[Commission]" caption="Commission" attribute="1" defaultMemberUniqueName="[Table1].[Commission].[All]" allUniqueName="[Table1].[Commission].[All]" dimensionUniqueName="[Table1]" displayFolder="" count="2" memberValueDatatype="5" unbalanced="0"/>
    <cacheHierarchy uniqueName="[Table1].[Sales Location]" caption="Sales Location" attribute="1" defaultMemberUniqueName="[Table1].[Sales Location].[All]" allUniqueName="[Table1].[Sales Location].[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7.499469328701" backgroundQuery="1" createdVersion="7" refreshedVersion="7" minRefreshableVersion="3" recordCount="0" supportSubquery="1" supportAdvancedDrill="1" xr:uid="{2716529E-0BDB-4260-B673-6276005759F0}">
  <cacheSource type="external" connectionId="2"/>
  <cacheFields count="2">
    <cacheField name="[Range].[Covered?].[Covered?]" caption="Covered?" numFmtId="0" hierarchy="12" level="1">
      <sharedItems count="2">
        <s v="Covered"/>
        <s v="Not Covered"/>
      </sharedItems>
    </cacheField>
    <cacheField name="[Measures].[Count of Car ID]" caption="Count of Car ID" numFmtId="0" hierarchy="38" level="32767"/>
  </cacheFields>
  <cacheHierarchies count="39">
    <cacheHierarchy uniqueName="[Range].[Car ID]" caption="Car ID" attribute="1" defaultMemberUniqueName="[Range].[Car ID].[All]" allUniqueName="[Range].[Car ID].[All]" dimensionUniqueName="[Range]" displayFolder="" count="2" memberValueDatatype="130" unbalanced="0"/>
    <cacheHierarchy uniqueName="[Range].[Maker]" caption="Maker" attribute="1" defaultMemberUniqueName="[Range].[Maker].[All]" allUniqueName="[Range].[Maker].[All]" dimensionUniqueName="[Range]" displayFolder="" count="2"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cacheHierarchy uniqueName="[Range].[Model]" caption="Model" attribute="1" defaultMemberUniqueName="[Range].[Model].[All]" allUniqueName="[Range].[Model].[All]" dimensionUniqueName="[Range]" displayFolder="" count="2" memberValueDatatype="130" unbalanced="0"/>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Miles]" caption="Miles" attribute="1" defaultMemberUniqueName="[Range].[Miles].[All]" allUniqueName="[Range].[Miles].[All]" dimensionUniqueName="[Range]" displayFolder="" count="2" memberValueDatatype="5" unbalanced="0"/>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cacheHierarchy uniqueName="[Range].[Driver]" caption="Driver" attribute="1" defaultMemberUniqueName="[Range].[Driver].[All]" allUniqueName="[Range].[Driver].[All]" dimensionUniqueName="[Range]" displayFolder="" count="2"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fieldsUsage count="2">
        <fieldUsage x="-1"/>
        <fieldUsage x="0"/>
      </fieldsUsage>
    </cacheHierarchy>
    <cacheHierarchy uniqueName="[Range].[New Car ID]" caption="New Car ID" attribute="1" defaultMemberUniqueName="[Range].[New Car ID].[All]" allUniqueName="[Range].[New Car ID].[All]" dimensionUniqueName="[Range]" displayFolder="" count="2" memberValueDatatype="130" unbalanced="0"/>
    <cacheHierarchy uniqueName="[Table1].[S/N]" caption="S/N" attribute="1" defaultMemberUniqueName="[Table1].[S/N].[All]" allUniqueName="[Table1].[S/N].[All]" dimensionUniqueName="[Table1]" displayFolder="" count="2" memberValueDatatype="20" unbalanced="0"/>
    <cacheHierarchy uniqueName="[Table1].[Month]" caption="Month" attribute="1" defaultMemberUniqueName="[Table1].[Month].[All]" allUniqueName="[Table1].[Month].[All]" dimensionUniqueName="[Table1]" displayFolder="" count="2" memberValueDatatype="130" unbalanced="0"/>
    <cacheHierarchy uniqueName="[Table1].[Transaction Number]" caption="Transaction Number" attribute="1" defaultMemberUniqueName="[Table1].[Transaction Number].[All]" allUniqueName="[Table1].[Transaction Number].[All]" dimensionUniqueName="[Table1]" displayFolder="" count="2"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cacheHierarchy uniqueName="[Table1].[Store cost]" caption="Store cost" attribute="1" defaultMemberUniqueName="[Table1].[Store cost].[All]" allUniqueName="[Table1].[Store cost].[All]" dimensionUniqueName="[Table1]" displayFolder="" count="2" memberValueDatatype="20" unbalanced="0"/>
    <cacheHierarchy uniqueName="[Table1].[Sales Price]" caption="Sales Price" attribute="1" defaultMemberUniqueName="[Table1].[Sales Price].[All]" allUniqueName="[Table1].[Sales Price].[All]" dimensionUniqueName="[Table1]" displayFolder="" count="2" memberValueDatatype="20" unbalanced="0"/>
    <cacheHierarchy uniqueName="[Table1].[Profit]" caption="Profit" attribute="1" defaultMemberUniqueName="[Table1].[Profit].[All]" allUniqueName="[Table1].[Profit].[All]" dimensionUniqueName="[Table1]" displayFolder="" count="2" memberValueDatatype="20" unbalanced="0"/>
    <cacheHierarchy uniqueName="[Table1].[Quantity]" caption="Quantity" attribute="1" defaultMemberUniqueName="[Table1].[Quantity].[All]" allUniqueName="[Table1].[Quantity].[All]" dimensionUniqueName="[Table1]" displayFolder="" count="2" memberValueDatatype="20" unbalanced="0"/>
    <cacheHierarchy uniqueName="[Table1].[Total Sales Price]" caption="Total Sales Price" attribute="1" defaultMemberUniqueName="[Table1].[Total Sales Price].[All]" allUniqueName="[Table1].[Total Sales Price].[All]" dimensionUniqueName="[Table1]" displayFolder="" count="2" memberValueDatatype="20" unbalanced="0"/>
    <cacheHierarchy uniqueName="[Table1].[Total Profit]" caption="Total Profit" attribute="1" defaultMemberUniqueName="[Table1].[Total Profit].[All]" allUniqueName="[Table1].[Total Profit].[All]" dimensionUniqueName="[Table1]" displayFolder="" count="2" memberValueDatatype="20" unbalanced="0"/>
    <cacheHierarchy uniqueName="[Table1].[Commission]" caption="Commission" attribute="1" defaultMemberUniqueName="[Table1].[Commission].[All]" allUniqueName="[Table1].[Commission].[All]" dimensionUniqueName="[Table1]" displayFolder="" count="2" memberValueDatatype="5" unbalanced="0"/>
    <cacheHierarchy uniqueName="[Table1].[Sales Location]" caption="Sales Location" attribute="1" defaultMemberUniqueName="[Table1].[Sales Location].[All]" allUniqueName="[Table1].[Sales Location].[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7.512034722226" backgroundQuery="1" createdVersion="7" refreshedVersion="7" minRefreshableVersion="3" recordCount="0" supportSubquery="1" supportAdvancedDrill="1" xr:uid="{24FFAA12-AFE5-476F-AD0D-848C4EC37197}">
  <cacheSource type="external" connectionId="2"/>
  <cacheFields count="2">
    <cacheField name="[Range].[Model].[Model]" caption="Model" numFmtId="0" hierarchy="3" level="1">
      <sharedItems count="11">
        <s v="CAM"/>
        <s v="CAR"/>
        <s v="CIV"/>
        <s v="CMR"/>
        <s v="COR"/>
        <s v="ELA"/>
        <s v="FCS"/>
        <s v="MTG"/>
        <s v="ODY"/>
        <s v="PTC"/>
        <s v="SLV"/>
      </sharedItems>
    </cacheField>
    <cacheField name="[Measures].[Average of Miles / Year]" caption="Average of Miles / Year" numFmtId="0" hierarchy="37" level="32767"/>
  </cacheFields>
  <cacheHierarchies count="39">
    <cacheHierarchy uniqueName="[Range].[Car ID]" caption="Car ID" attribute="1" defaultMemberUniqueName="[Range].[Car ID].[All]" allUniqueName="[Range].[Car ID].[All]" dimensionUniqueName="[Range]" displayFolder="" count="2" memberValueDatatype="130" unbalanced="0"/>
    <cacheHierarchy uniqueName="[Range].[Maker]" caption="Maker" attribute="1" defaultMemberUniqueName="[Range].[Maker].[All]" allUniqueName="[Range].[Maker].[All]" dimensionUniqueName="[Range]" displayFolder="" count="2"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cacheHierarchy uniqueName="[Range].[Model]" caption="Model" attribute="1" defaultMemberUniqueName="[Range].[Model].[All]" allUniqueName="[Range].[Model].[All]" dimensionUniqueName="[Range]" displayFolder="" count="2" memberValueDatatype="130" unbalanced="0">
      <fieldsUsage count="2">
        <fieldUsage x="-1"/>
        <fieldUsage x="0"/>
      </fieldsUsage>
    </cacheHierarchy>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Miles]" caption="Miles" attribute="1" defaultMemberUniqueName="[Range].[Miles].[All]" allUniqueName="[Range].[Miles].[All]" dimensionUniqueName="[Range]" displayFolder="" count="2" memberValueDatatype="5" unbalanced="0"/>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cacheHierarchy uniqueName="[Range].[Driver]" caption="Driver" attribute="1" defaultMemberUniqueName="[Range].[Driver].[All]" allUniqueName="[Range].[Driver].[All]" dimensionUniqueName="[Range]" displayFolder="" count="2"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cacheHierarchy uniqueName="[Range].[New Car ID]" caption="New Car ID" attribute="1" defaultMemberUniqueName="[Range].[New Car ID].[All]" allUniqueName="[Range].[New Car ID].[All]" dimensionUniqueName="[Range]" displayFolder="" count="2" memberValueDatatype="130" unbalanced="0"/>
    <cacheHierarchy uniqueName="[Table1].[S/N]" caption="S/N" attribute="1" defaultMemberUniqueName="[Table1].[S/N].[All]" allUniqueName="[Table1].[S/N].[All]" dimensionUniqueName="[Table1]" displayFolder="" count="2" memberValueDatatype="20" unbalanced="0"/>
    <cacheHierarchy uniqueName="[Table1].[Month]" caption="Month" attribute="1" defaultMemberUniqueName="[Table1].[Month].[All]" allUniqueName="[Table1].[Month].[All]" dimensionUniqueName="[Table1]" displayFolder="" count="2" memberValueDatatype="130" unbalanced="0"/>
    <cacheHierarchy uniqueName="[Table1].[Transaction Number]" caption="Transaction Number" attribute="1" defaultMemberUniqueName="[Table1].[Transaction Number].[All]" allUniqueName="[Table1].[Transaction Number].[All]" dimensionUniqueName="[Table1]" displayFolder="" count="2"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cacheHierarchy uniqueName="[Table1].[Store cost]" caption="Store cost" attribute="1" defaultMemberUniqueName="[Table1].[Store cost].[All]" allUniqueName="[Table1].[Store cost].[All]" dimensionUniqueName="[Table1]" displayFolder="" count="2" memberValueDatatype="20" unbalanced="0"/>
    <cacheHierarchy uniqueName="[Table1].[Sales Price]" caption="Sales Price" attribute="1" defaultMemberUniqueName="[Table1].[Sales Price].[All]" allUniqueName="[Table1].[Sales Price].[All]" dimensionUniqueName="[Table1]" displayFolder="" count="2" memberValueDatatype="20" unbalanced="0"/>
    <cacheHierarchy uniqueName="[Table1].[Profit]" caption="Profit" attribute="1" defaultMemberUniqueName="[Table1].[Profit].[All]" allUniqueName="[Table1].[Profit].[All]" dimensionUniqueName="[Table1]" displayFolder="" count="2" memberValueDatatype="20" unbalanced="0"/>
    <cacheHierarchy uniqueName="[Table1].[Quantity]" caption="Quantity" attribute="1" defaultMemberUniqueName="[Table1].[Quantity].[All]" allUniqueName="[Table1].[Quantity].[All]" dimensionUniqueName="[Table1]" displayFolder="" count="2" memberValueDatatype="20" unbalanced="0"/>
    <cacheHierarchy uniqueName="[Table1].[Total Sales Price]" caption="Total Sales Price" attribute="1" defaultMemberUniqueName="[Table1].[Total Sales Price].[All]" allUniqueName="[Table1].[Total Sales Price].[All]" dimensionUniqueName="[Table1]" displayFolder="" count="2" memberValueDatatype="20" unbalanced="0"/>
    <cacheHierarchy uniqueName="[Table1].[Total Profit]" caption="Total Profit" attribute="1" defaultMemberUniqueName="[Table1].[Total Profit].[All]" allUniqueName="[Table1].[Total Profit].[All]" dimensionUniqueName="[Table1]" displayFolder="" count="2" memberValueDatatype="20" unbalanced="0"/>
    <cacheHierarchy uniqueName="[Table1].[Commission]" caption="Commission" attribute="1" defaultMemberUniqueName="[Table1].[Commission].[All]" allUniqueName="[Table1].[Commission].[All]" dimensionUniqueName="[Table1]" displayFolder="" count="2" memberValueDatatype="5" unbalanced="0"/>
    <cacheHierarchy uniqueName="[Table1].[Sales Location]" caption="Sales Location" attribute="1" defaultMemberUniqueName="[Table1].[Sales Location].[All]" allUniqueName="[Table1].[Sales Location].[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7.601325694442" backgroundQuery="1" createdVersion="7" refreshedVersion="7" minRefreshableVersion="3" recordCount="0" supportSubquery="1" supportAdvancedDrill="1" xr:uid="{D860920E-DE84-4C9C-AADD-3ED009557D03}">
  <cacheSource type="external" connectionId="2"/>
  <cacheFields count="3">
    <cacheField name="[Range].[Color].[Color]" caption="Color" numFmtId="0" hierarchy="9" level="1">
      <sharedItems count="5">
        <s v="Black"/>
        <s v="Blue"/>
        <s v="Green"/>
        <s v="Red"/>
        <s v="White"/>
      </sharedItems>
    </cacheField>
    <cacheField name="[Measures].[Count of Car ID]" caption="Count of Car ID" numFmtId="0" hierarchy="38" level="32767"/>
    <cacheField name="[Range].[Car ID].[Car ID]" caption="Car ID" numFmtId="0" level="1">
      <sharedItems containsSemiMixedTypes="0" containsNonDate="0" containsString="0"/>
    </cacheField>
  </cacheFields>
  <cacheHierarchies count="39">
    <cacheHierarchy uniqueName="[Range].[Car ID]" caption="Car ID" attribute="1" defaultMemberUniqueName="[Range].[Car ID].[All]" allUniqueName="[Range].[Car ID].[All]" dimensionUniqueName="[Range]" displayFolder="" count="2" memberValueDatatype="130" unbalanced="0">
      <fieldsUsage count="2">
        <fieldUsage x="-1"/>
        <fieldUsage x="2"/>
      </fieldsUsage>
    </cacheHierarchy>
    <cacheHierarchy uniqueName="[Range].[Maker]" caption="Maker" attribute="1" defaultMemberUniqueName="[Range].[Maker].[All]" allUniqueName="[Range].[Maker].[All]" dimensionUniqueName="[Range]" displayFolder="" count="2"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cacheHierarchy uniqueName="[Range].[Model]" caption="Model" attribute="1" defaultMemberUniqueName="[Range].[Model].[All]" allUniqueName="[Range].[Model].[All]" dimensionUniqueName="[Range]" displayFolder="" count="2" memberValueDatatype="130" unbalanced="0"/>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Miles]" caption="Miles" attribute="1" defaultMemberUniqueName="[Range].[Miles].[All]" allUniqueName="[Range].[Miles].[All]" dimensionUniqueName="[Range]" displayFolder="" count="2" memberValueDatatype="5" unbalanced="0"/>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fieldsUsage count="2">
        <fieldUsage x="-1"/>
        <fieldUsage x="0"/>
      </fieldsUsage>
    </cacheHierarchy>
    <cacheHierarchy uniqueName="[Range].[Driver]" caption="Driver" attribute="1" defaultMemberUniqueName="[Range].[Driver].[All]" allUniqueName="[Range].[Driver].[All]" dimensionUniqueName="[Range]" displayFolder="" count="2"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cacheHierarchy uniqueName="[Range].[New Car ID]" caption="New Car ID" attribute="1" defaultMemberUniqueName="[Range].[New Car ID].[All]" allUniqueName="[Range].[New Car ID].[All]" dimensionUniqueName="[Range]" displayFolder="" count="2" memberValueDatatype="130" unbalanced="0"/>
    <cacheHierarchy uniqueName="[Table1].[S/N]" caption="S/N" attribute="1" defaultMemberUniqueName="[Table1].[S/N].[All]" allUniqueName="[Table1].[S/N].[All]" dimensionUniqueName="[Table1]" displayFolder="" count="2" memberValueDatatype="20" unbalanced="0"/>
    <cacheHierarchy uniqueName="[Table1].[Month]" caption="Month" attribute="1" defaultMemberUniqueName="[Table1].[Month].[All]" allUniqueName="[Table1].[Month].[All]" dimensionUniqueName="[Table1]" displayFolder="" count="2" memberValueDatatype="130" unbalanced="0"/>
    <cacheHierarchy uniqueName="[Table1].[Transaction Number]" caption="Transaction Number" attribute="1" defaultMemberUniqueName="[Table1].[Transaction Number].[All]" allUniqueName="[Table1].[Transaction Number].[All]" dimensionUniqueName="[Table1]" displayFolder="" count="2" memberValueDatatype="20" unbalanced="0"/>
    <cacheHierarchy uniqueName="[Table1].[Prouct Description]" caption="Prouct Description" attribute="1" defaultMemberUniqueName="[Table1].[Prouct Description].[All]" allUniqueName="[Table1].[Prouct Description].[All]" dimensionUniqueName="[Table1]" displayFolder="" count="2" memberValueDatatype="130" unbalanced="0"/>
    <cacheHierarchy uniqueName="[Table1].[Store cost]" caption="Store cost" attribute="1" defaultMemberUniqueName="[Table1].[Store cost].[All]" allUniqueName="[Table1].[Store cost].[All]" dimensionUniqueName="[Table1]" displayFolder="" count="2" memberValueDatatype="20" unbalanced="0"/>
    <cacheHierarchy uniqueName="[Table1].[Sales Price]" caption="Sales Price" attribute="1" defaultMemberUniqueName="[Table1].[Sales Price].[All]" allUniqueName="[Table1].[Sales Price].[All]" dimensionUniqueName="[Table1]" displayFolder="" count="2" memberValueDatatype="20" unbalanced="0"/>
    <cacheHierarchy uniqueName="[Table1].[Profit]" caption="Profit" attribute="1" defaultMemberUniqueName="[Table1].[Profit].[All]" allUniqueName="[Table1].[Profit].[All]" dimensionUniqueName="[Table1]" displayFolder="" count="2" memberValueDatatype="20" unbalanced="0"/>
    <cacheHierarchy uniqueName="[Table1].[Quantity]" caption="Quantity" attribute="1" defaultMemberUniqueName="[Table1].[Quantity].[All]" allUniqueName="[Table1].[Quantity].[All]" dimensionUniqueName="[Table1]" displayFolder="" count="2" memberValueDatatype="20" unbalanced="0"/>
    <cacheHierarchy uniqueName="[Table1].[Total Sales Price]" caption="Total Sales Price" attribute="1" defaultMemberUniqueName="[Table1].[Total Sales Price].[All]" allUniqueName="[Table1].[Total Sales Price].[All]" dimensionUniqueName="[Table1]" displayFolder="" count="2" memberValueDatatype="20" unbalanced="0"/>
    <cacheHierarchy uniqueName="[Table1].[Total Profit]" caption="Total Profit" attribute="1" defaultMemberUniqueName="[Table1].[Total Profit].[All]" allUniqueName="[Table1].[Total Profit].[All]" dimensionUniqueName="[Table1]" displayFolder="" count="2" memberValueDatatype="20" unbalanced="0"/>
    <cacheHierarchy uniqueName="[Table1].[Commission]" caption="Commission" attribute="1" defaultMemberUniqueName="[Table1].[Commission].[All]" allUniqueName="[Table1].[Commission].[All]" dimensionUniqueName="[Table1]" displayFolder="" count="2" memberValueDatatype="5" unbalanced="0"/>
    <cacheHierarchy uniqueName="[Table1].[Sales Location]" caption="Sales Location" attribute="1" defaultMemberUniqueName="[Table1].[Sales Location].[All]" allUniqueName="[Table1].[Sales Location].[All]" dimensionUniqueName="[Table1]" displayFolder="" count="2"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86.907804166665" backgroundQuery="1" createdVersion="3" refreshedVersion="7" minRefreshableVersion="3" recordCount="0" supportSubquery="1" supportAdvancedDrill="1" xr:uid="{533A6F7C-FF0B-4512-A1F4-BB3DB9B84B90}">
  <cacheSource type="external" connectionId="2">
    <extLst>
      <ext xmlns:x14="http://schemas.microsoft.com/office/spreadsheetml/2009/9/main" uri="{F057638F-6D5F-4e77-A914-E7F072B9BCA8}">
        <x14:sourceConnection name="ThisWorkbookDataModel"/>
      </ext>
    </extLst>
  </cacheSource>
  <cacheFields count="0"/>
  <cacheHierarchies count="39">
    <cacheHierarchy uniqueName="[Range].[Car ID]" caption="Car ID" attribute="1" defaultMemberUniqueName="[Range].[Car ID].[All]" allUniqueName="[Range].[Car ID].[All]" dimensionUniqueName="[Range]" displayFolder="" count="2" memberValueDatatype="130" unbalanced="0"/>
    <cacheHierarchy uniqueName="[Range].[Maker]" caption="Maker" attribute="1" defaultMemberUniqueName="[Range].[Maker].[All]" allUniqueName="[Range].[Maker].[All]" dimensionUniqueName="[Range]" displayFolder="" count="0" memberValueDatatype="130" unbalanced="0"/>
    <cacheHierarchy uniqueName="[Range].[Maker (Full Name)]" caption="Maker (Full Name)" attribute="1" defaultMemberUniqueName="[Range].[Maker (Full Name)].[All]" allUniqueName="[Range].[Maker (Full Name)].[All]" dimensionUniqueName="[Range]" displayFolder="" count="2" memberValueDatatype="130" unbalanced="0"/>
    <cacheHierarchy uniqueName="[Range].[Model]" caption="Model" attribute="1" defaultMemberUniqueName="[Range].[Model].[All]" allUniqueName="[Range].[Model].[All]" dimensionUniqueName="[Range]" displayFolder="" count="2" memberValueDatatype="130" unbalanced="0"/>
    <cacheHierarchy uniqueName="[Range].[Model (Full Name)]" caption="Model (Full Name)" attribute="1" defaultMemberUniqueName="[Range].[Model (Full Name)].[All]" allUniqueName="[Range].[Model (Full Name)].[All]" dimensionUniqueName="[Range]" displayFolder="" count="2" memberValueDatatype="130" unbalanced="0"/>
    <cacheHierarchy uniqueName="[Range].[Manufacture Year]" caption="Manufacture Year" attribute="1" defaultMemberUniqueName="[Range].[Manufacture Year].[All]" allUniqueName="[Range].[Manufacture Year].[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Miles]" caption="Miles" attribute="1" defaultMemberUniqueName="[Range].[Miles].[All]" allUniqueName="[Range].[Miles].[All]" dimensionUniqueName="[Range]" displayFolder="" count="2" memberValueDatatype="5" unbalanced="0"/>
    <cacheHierarchy uniqueName="[Range].[Miles / Year]" caption="Miles / Year" attribute="1" defaultMemberUniqueName="[Range].[Miles / Year].[All]" allUniqueName="[Range].[Miles / Year].[All]" dimensionUniqueName="[Range]" displayFolder="" count="2" memberValueDatatype="5" unbalanced="0"/>
    <cacheHierarchy uniqueName="[Range].[Color]" caption="Color" attribute="1" defaultMemberUniqueName="[Range].[Color].[All]" allUniqueName="[Range].[Color].[All]" dimensionUniqueName="[Range]" displayFolder="" count="2" memberValueDatatype="130" unbalanced="0"/>
    <cacheHierarchy uniqueName="[Range].[Driver]" caption="Driver" attribute="1" defaultMemberUniqueName="[Range].[Driver].[All]" allUniqueName="[Range].[Driver].[All]" dimensionUniqueName="[Range]" displayFolder="" count="0" memberValueDatatype="130" unbalanced="0"/>
    <cacheHierarchy uniqueName="[Range].[Warantee Miles]" caption="Warantee Miles" attribute="1" defaultMemberUniqueName="[Range].[Warantee Miles].[All]" allUniqueName="[Range].[Warantee Miles].[All]" dimensionUniqueName="[Range]" displayFolder="" count="2" memberValueDatatype="20" unbalanced="0"/>
    <cacheHierarchy uniqueName="[Range].[Covered?]" caption="Covered?" attribute="1" defaultMemberUniqueName="[Range].[Covered?].[All]" allUniqueName="[Range].[Covered?].[All]" dimensionUniqueName="[Range]" displayFolder="" count="2" memberValueDatatype="130" unbalanced="0"/>
    <cacheHierarchy uniqueName="[Range].[New Car ID]" caption="New Car ID" attribute="1" defaultMemberUniqueName="[Range].[New Car ID].[All]" allUniqueName="[Range].[New Car ID].[All]" dimensionUniqueName="[Range]" displayFolder="" count="0" memberValueDatatype="130" unbalanced="0"/>
    <cacheHierarchy uniqueName="[Table1].[S/N]" caption="S/N" attribute="1" defaultMemberUniqueName="[Table1].[S/N].[All]" allUniqueName="[Table1].[S/N].[All]" dimensionUniqueName="[Table1]" displayFolder="" count="0" memberValueDatatype="20" unbalanced="0"/>
    <cacheHierarchy uniqueName="[Table1].[Month]" caption="Month" attribute="1" defaultMemberUniqueName="[Table1].[Month].[All]" allUniqueName="[Table1].[Month].[All]" dimensionUniqueName="[Table1]" displayFolder="" count="0" memberValueDatatype="130" unbalanced="0"/>
    <cacheHierarchy uniqueName="[Table1].[Transaction Number]" caption="Transaction Number" attribute="1" defaultMemberUniqueName="[Table1].[Transaction Number].[All]" allUniqueName="[Table1].[Transaction Number].[All]" dimensionUniqueName="[Table1]" displayFolder="" count="0" memberValueDatatype="20" unbalanced="0"/>
    <cacheHierarchy uniqueName="[Table1].[Prouct Description]" caption="Prouct Description" attribute="1" defaultMemberUniqueName="[Table1].[Prouct Description].[All]" allUniqueName="[Table1].[Prouct Description].[All]" dimensionUniqueName="[Table1]" displayFolder="" count="0" memberValueDatatype="130" unbalanced="0"/>
    <cacheHierarchy uniqueName="[Table1].[Store cost]" caption="Store cost" attribute="1" defaultMemberUniqueName="[Table1].[Store cost].[All]" allUniqueName="[Table1].[Store cost].[All]" dimensionUniqueName="[Table1]" displayFolder="" count="0" memberValueDatatype="20" unbalanced="0"/>
    <cacheHierarchy uniqueName="[Table1].[Sales Price]" caption="Sales Price" attribute="1" defaultMemberUniqueName="[Table1].[Sales Price].[All]" allUniqueName="[Table1].[Sales Price].[All]" dimensionUniqueName="[Table1]" displayFolder="" count="0" memberValueDatatype="20" unbalanced="0"/>
    <cacheHierarchy uniqueName="[Table1].[Profit]" caption="Profit" attribute="1" defaultMemberUniqueName="[Table1].[Profit].[All]" allUniqueName="[Table1].[Profit].[All]" dimensionUniqueName="[Table1]" displayFolder="" count="0" memberValueDatatype="20" unbalanced="0"/>
    <cacheHierarchy uniqueName="[Table1].[Quantity]" caption="Quantity" attribute="1" defaultMemberUniqueName="[Table1].[Quantity].[All]" allUniqueName="[Table1].[Quantity].[All]" dimensionUniqueName="[Table1]" displayFolder="" count="0" memberValueDatatype="20" unbalanced="0"/>
    <cacheHierarchy uniqueName="[Table1].[Total Sales Price]" caption="Total Sales Price" attribute="1" defaultMemberUniqueName="[Table1].[Total Sales Price].[All]" allUniqueName="[Table1].[Total Sales Price].[All]" dimensionUniqueName="[Table1]" displayFolder="" count="0" memberValueDatatype="20" unbalanced="0"/>
    <cacheHierarchy uniqueName="[Table1].[Total Profit]" caption="Total Profit" attribute="1" defaultMemberUniqueName="[Table1].[Total Profit].[All]" allUniqueName="[Table1].[Total Profit].[All]" dimensionUniqueName="[Table1]" displayFolder="" count="0" memberValueDatatype="20" unbalanced="0"/>
    <cacheHierarchy uniqueName="[Table1].[Commission]" caption="Commission" attribute="1" defaultMemberUniqueName="[Table1].[Commission].[All]" allUniqueName="[Table1].[Commission].[All]" dimensionUniqueName="[Table1]" displayFolder="" count="0" memberValueDatatype="5" unbalanced="0"/>
    <cacheHierarchy uniqueName="[Table1].[Sales Location]" caption="Sales Location" attribute="1" defaultMemberUniqueName="[Table1].[Sales Location].[All]" allUniqueName="[Table1].[Sales Location].[All]" dimensionUniqueName="[Table1]" displayFolder="" count="0" memberValueDatatype="130" unbalanced="0"/>
    <cacheHierarchy uniqueName="[Table1].[Sales Person]" caption="Sales Person" attribute="1" defaultMemberUniqueName="[Table1].[Sales Person].[All]" allUniqueName="[Table1].[Sales Person].[All]" dimensionUniqueName="[Table1]" displayFolder="" count="0" memberValueDatatype="130" unbalanced="0"/>
    <cacheHierarchy uniqueName="[Measures].[__XL_Count Table1]" caption="__XL_Count Table1" measure="1" displayFolder="" measureGroup="Table1"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rouct Description]" caption="Count of Prouct Description" measure="1" displayFolder="" measureGroup="Table1" count="0" hidden="1">
      <extLst>
        <ext xmlns:x15="http://schemas.microsoft.com/office/spreadsheetml/2010/11/main" uri="{B97F6D7D-B522-45F9-BDA1-12C45D357490}">
          <x15:cacheHierarchy aggregatedColumn="17"/>
        </ext>
      </extLst>
    </cacheHierarchy>
    <cacheHierarchy uniqueName="[Measures].[Sum of Total Profit]" caption="Sum of Total Profit" measure="1" displayFolder="" measureGroup="Table1" count="0" hidden="1">
      <extLst>
        <ext xmlns:x15="http://schemas.microsoft.com/office/spreadsheetml/2010/11/main" uri="{B97F6D7D-B522-45F9-BDA1-12C45D357490}">
          <x15:cacheHierarchy aggregatedColumn="23"/>
        </ext>
      </extLst>
    </cacheHierarchy>
    <cacheHierarchy uniqueName="[Measures].[Sum of Commission]" caption="Sum of Commission" measure="1" displayFolder="" measureGroup="Table1" count="0" hidden="1">
      <extLst>
        <ext xmlns:x15="http://schemas.microsoft.com/office/spreadsheetml/2010/11/main" uri="{B97F6D7D-B522-45F9-BDA1-12C45D357490}">
          <x15:cacheHierarchy aggregatedColumn="24"/>
        </ext>
      </extLst>
    </cacheHierarchy>
    <cacheHierarchy uniqueName="[Measures].[Sum of Total Sales Price]" caption="Sum of Total Sales Price" measure="1" displayFolder="" measureGroup="Table1"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21"/>
        </ext>
      </extLst>
    </cacheHierarchy>
    <cacheHierarchy uniqueName="[Measures].[Sum of Miles / Year]" caption="Sum of Miles / Year" measure="1" displayFolder="" measureGroup="Range" count="0" hidden="1">
      <extLst>
        <ext xmlns:x15="http://schemas.microsoft.com/office/spreadsheetml/2010/11/main" uri="{B97F6D7D-B522-45F9-BDA1-12C45D357490}">
          <x15:cacheHierarchy aggregatedColumn="8"/>
        </ext>
      </extLst>
    </cacheHierarchy>
    <cacheHierarchy uniqueName="[Measures].[Sum of Miles]" caption="Sum of Miles" measure="1" displayFolder="" measureGroup="Range" count="0" hidden="1">
      <extLst>
        <ext xmlns:x15="http://schemas.microsoft.com/office/spreadsheetml/2010/11/main" uri="{B97F6D7D-B522-45F9-BDA1-12C45D357490}">
          <x15:cacheHierarchy aggregatedColumn="7"/>
        </ext>
      </extLst>
    </cacheHierarchy>
    <cacheHierarchy uniqueName="[Measures].[Average of Miles / Year]" caption="Average of Miles / Year" measure="1" displayFolder="" measureGroup="Range" count="0" hidden="1">
      <extLst>
        <ext xmlns:x15="http://schemas.microsoft.com/office/spreadsheetml/2010/11/main" uri="{B97F6D7D-B522-45F9-BDA1-12C45D357490}">
          <x15:cacheHierarchy aggregatedColumn="8"/>
        </ext>
      </extLst>
    </cacheHierarchy>
    <cacheHierarchy uniqueName="[Measures].[Count of Car ID]" caption="Count of Car ID"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55391081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9"/>
    <n v="39"/>
    <n v="3.1"/>
    <s v="NCE"/>
    <x v="0"/>
    <x v="0"/>
    <s v="-"/>
    <s v=" "/>
    <s v=" "/>
    <n v="4600"/>
  </r>
  <r>
    <x v="1"/>
    <x v="1"/>
    <n v="22"/>
    <n v="44"/>
    <n v="2.9"/>
    <s v="OND"/>
    <x v="1"/>
    <x v="0"/>
    <s v="-"/>
    <s v=" "/>
    <s v=" "/>
    <n v="6600"/>
  </r>
  <r>
    <x v="2"/>
    <x v="2"/>
    <n v="16"/>
    <n v="55"/>
    <n v="2.8"/>
    <s v="BSc"/>
    <x v="1"/>
    <x v="0"/>
    <s v="-"/>
    <s v=" "/>
    <s v=" "/>
    <n v="2600"/>
  </r>
  <r>
    <x v="3"/>
    <x v="3"/>
    <n v="21"/>
    <n v="90"/>
    <n v="3"/>
    <s v="NCE"/>
    <x v="2"/>
    <x v="1"/>
    <s v="Junior Position"/>
    <n v="321150"/>
    <n v="312800"/>
    <n v="0"/>
  </r>
  <r>
    <x v="4"/>
    <x v="4"/>
    <n v="19"/>
    <n v="40"/>
    <n v="4.0999999999999996"/>
    <s v="OND"/>
    <x v="3"/>
    <x v="0"/>
    <s v="-"/>
    <s v=" "/>
    <s v=" "/>
    <n v="4600"/>
  </r>
  <r>
    <x v="5"/>
    <x v="5"/>
    <n v="15"/>
    <n v="42"/>
    <n v="0"/>
    <s v="SSCE"/>
    <x v="2"/>
    <x v="0"/>
    <s v="-"/>
    <s v=" "/>
    <s v=" "/>
    <n v="2600"/>
  </r>
  <r>
    <x v="6"/>
    <x v="6"/>
    <n v="22"/>
    <n v="49"/>
    <n v="3.8"/>
    <s v="BSc"/>
    <x v="2"/>
    <x v="1"/>
    <s v="Senior Position"/>
    <n v="447250"/>
    <n v="438900"/>
    <n v="0"/>
  </r>
  <r>
    <x v="7"/>
    <x v="7"/>
    <n v="23"/>
    <n v="46"/>
    <n v="5"/>
    <s v="BSc"/>
    <x v="1"/>
    <x v="1"/>
    <s v="Senior Position"/>
    <n v="447250"/>
    <n v="438900"/>
    <n v="0"/>
  </r>
  <r>
    <x v="8"/>
    <x v="8"/>
    <n v="26"/>
    <n v="56"/>
    <n v="3.9"/>
    <s v="BSc"/>
    <x v="4"/>
    <x v="1"/>
    <s v="Senior Position"/>
    <n v="447250"/>
    <n v="438900"/>
    <n v="0"/>
  </r>
  <r>
    <x v="9"/>
    <x v="9"/>
    <n v="28"/>
    <n v="88"/>
    <n v="2.92"/>
    <s v="OND"/>
    <x v="1"/>
    <x v="1"/>
    <s v="Junior Position"/>
    <n v="321150"/>
    <n v="312800"/>
    <n v="0"/>
  </r>
  <r>
    <x v="10"/>
    <x v="10"/>
    <n v="41"/>
    <n v="89"/>
    <n v="4.3"/>
    <s v="BSc"/>
    <x v="1"/>
    <x v="1"/>
    <s v="Senior Position"/>
    <n v="447250"/>
    <n v="438900"/>
    <n v="0"/>
  </r>
  <r>
    <x v="11"/>
    <x v="11"/>
    <n v="18"/>
    <n v="22"/>
    <n v="3.1"/>
    <s v="NCE"/>
    <x v="0"/>
    <x v="0"/>
    <s v="-"/>
    <s v=" "/>
    <s v=" "/>
    <n v="4600"/>
  </r>
  <r>
    <x v="12"/>
    <x v="12"/>
    <n v="20"/>
    <n v="48"/>
    <n v="3.8"/>
    <s v="BSc"/>
    <x v="1"/>
    <x v="1"/>
    <s v="Senior Position"/>
    <n v="447250"/>
    <n v="438900"/>
    <n v="0"/>
  </r>
  <r>
    <x v="13"/>
    <x v="13"/>
    <n v="25"/>
    <n v="51"/>
    <n v="3.1"/>
    <s v="OND"/>
    <x v="5"/>
    <x v="1"/>
    <s v="Junior Position"/>
    <n v="321150"/>
    <n v="312800"/>
    <n v="0"/>
  </r>
  <r>
    <x v="14"/>
    <x v="14"/>
    <n v="27"/>
    <n v="62"/>
    <n v="3.3"/>
    <s v="BSc"/>
    <x v="6"/>
    <x v="1"/>
    <s v="Senior Position"/>
    <n v="447250"/>
    <n v="438900"/>
    <n v="0"/>
  </r>
  <r>
    <x v="15"/>
    <x v="15"/>
    <n v="21"/>
    <n v="59"/>
    <n v="1.2"/>
    <s v="OND"/>
    <x v="7"/>
    <x v="0"/>
    <s v="-"/>
    <s v=" "/>
    <s v=" "/>
    <n v="6600"/>
  </r>
  <r>
    <x v="16"/>
    <x v="16"/>
    <n v="17"/>
    <n v="29"/>
    <n v="5"/>
    <s v="BSc"/>
    <x v="7"/>
    <x v="0"/>
    <s v="-"/>
    <s v=" "/>
    <s v=" "/>
    <n v="2600"/>
  </r>
  <r>
    <x v="17"/>
    <x v="17"/>
    <n v="20"/>
    <n v="81"/>
    <n v="4.4000000000000004"/>
    <s v="NCE"/>
    <x v="1"/>
    <x v="1"/>
    <s v="Junior Position"/>
    <n v="321150"/>
    <n v="312800"/>
    <n v="0"/>
  </r>
  <r>
    <x v="18"/>
    <x v="18"/>
    <n v="22"/>
    <n v="92"/>
    <n v="4.7"/>
    <s v="OND"/>
    <x v="2"/>
    <x v="1"/>
    <s v="Junior Position"/>
    <n v="321150"/>
    <n v="312800"/>
    <n v="0"/>
  </r>
  <r>
    <x v="19"/>
    <x v="19"/>
    <n v="24"/>
    <n v="99"/>
    <n v="5"/>
    <s v="NCE"/>
    <x v="1"/>
    <x v="1"/>
    <s v="Junior Position"/>
    <n v="321150"/>
    <n v="3128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981632-498D-439E-A7EC-E44211AB9CA3}" name="PivotTable2" cacheId="1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20:B27"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name="Average of Miles / Year" fld="1"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Miles / Year"/>
    <pivotHierarchy dragToData="1"/>
  </pivotHierarchies>
  <pivotTableStyleInfo name="PivotStyleDark5"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_Inventory_Dataset!$A$1:$N$5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C954A9-6D78-455C-8984-2FABBA5C58B7}" name="PivotTable1" cacheId="1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3:B15" firstHeaderRow="1" firstDataRow="1" firstDataCol="1"/>
  <pivotFields count="3">
    <pivotField axis="axisRow" allDrilled="1" subtotalTop="0" showAll="0" sortType="de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2">
    <i>
      <x/>
    </i>
    <i>
      <x v="1"/>
    </i>
    <i>
      <x v="2"/>
    </i>
    <i>
      <x v="6"/>
    </i>
    <i>
      <x v="8"/>
    </i>
    <i>
      <x v="7"/>
    </i>
    <i>
      <x v="10"/>
    </i>
    <i>
      <x v="4"/>
    </i>
    <i>
      <x v="9"/>
    </i>
    <i>
      <x v="5"/>
    </i>
    <i>
      <x v="3"/>
    </i>
    <i t="grand">
      <x/>
    </i>
  </rowItems>
  <colItems count="1">
    <i/>
  </colItems>
  <dataFields count="1">
    <dataField name="Sum of Miles"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_Inventory_Dataset!$A$1:$N$5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5E07C4-F10F-4EAF-916D-6F81F11D38C3}" name="PivotTable3"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2:B35"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Car ID" fld="1"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3"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_Inventory_Dataset!$A$1:$N$5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43CD94-CFA9-43CF-A788-18FCFAC0E2E8}" name="PivotTable4"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5" firstHeaderRow="1" firstDataRow="1" firstDataCol="1"/>
  <pivotFields count="2">
    <pivotField axis="axisRow" allDrilled="1" subtotalTop="0" showAll="0" sortType="ascending" defaultSubtotal="0" defaultAttributeDrillState="1">
      <items count="11">
        <item x="0"/>
        <item x="1"/>
        <item x="2"/>
        <item x="3"/>
        <item x="4"/>
        <item x="5"/>
        <item x="6"/>
        <item x="7"/>
        <item x="8"/>
        <item x="9"/>
        <item x="10"/>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2">
    <i>
      <x v="3"/>
    </i>
    <i>
      <x v="5"/>
    </i>
    <i>
      <x v="6"/>
    </i>
    <i>
      <x v="2"/>
    </i>
    <i>
      <x v="7"/>
    </i>
    <i>
      <x v="8"/>
    </i>
    <i>
      <x v="9"/>
    </i>
    <i>
      <x v="4"/>
    </i>
    <i>
      <x v="10"/>
    </i>
    <i>
      <x v="1"/>
    </i>
    <i>
      <x/>
    </i>
    <i t="grand">
      <x/>
    </i>
  </rowItems>
  <colItems count="1">
    <i/>
  </colItems>
  <dataFields count="1">
    <dataField name="Average of Miles / Year" fld="1"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Miles / Year"/>
    <pivotHierarchy dragToData="1"/>
  </pivotHierarchies>
  <pivotTableStyleInfo name="PivotStyleDark1"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_Inventory_Dataset!$A$1:$N$5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2A077B-6F17-485E-8262-1F3A375C886F}" name="PivotTable5"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B26"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Car ID" fld="1" subtotal="count"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4"/>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0" count="1" selected="0">
            <x v="0"/>
          </reference>
        </references>
      </pivotArea>
    </chartFormat>
    <chartFormat chart="1" format="7">
      <pivotArea type="data" outline="0" fieldPosition="0">
        <references count="2">
          <reference field="4294967294" count="1" selected="0">
            <x v="0"/>
          </reference>
          <reference field="0" count="1" selected="0">
            <x v="1"/>
          </reference>
        </references>
      </pivotArea>
    </chartFormat>
    <chartFormat chart="1" format="8">
      <pivotArea type="data" outline="0" fieldPosition="0">
        <references count="2">
          <reference field="4294967294" count="1" selected="0">
            <x v="0"/>
          </reference>
          <reference field="0" count="1" selected="0">
            <x v="2"/>
          </reference>
        </references>
      </pivotArea>
    </chartFormat>
    <chartFormat chart="1" format="9">
      <pivotArea type="data" outline="0" fieldPosition="0">
        <references count="2">
          <reference field="4294967294" count="1" selected="0">
            <x v="0"/>
          </reference>
          <reference field="0" count="1" selected="0">
            <x v="3"/>
          </reference>
        </references>
      </pivotArea>
    </chartFormat>
    <chartFormat chart="1" format="10">
      <pivotArea type="data" outline="0" fieldPosition="0">
        <references count="2">
          <reference field="4294967294" count="1" selected="0">
            <x v="0"/>
          </reference>
          <reference field="0"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0" count="1" selected="0">
            <x v="0"/>
          </reference>
        </references>
      </pivotArea>
    </chartFormat>
    <chartFormat chart="2" format="13">
      <pivotArea type="data" outline="0" fieldPosition="0">
        <references count="2">
          <reference field="4294967294" count="1" selected="0">
            <x v="0"/>
          </reference>
          <reference field="0" count="1" selected="0">
            <x v="1"/>
          </reference>
        </references>
      </pivotArea>
    </chartFormat>
    <chartFormat chart="2" format="14">
      <pivotArea type="data" outline="0" fieldPosition="0">
        <references count="2">
          <reference field="4294967294" count="1" selected="0">
            <x v="0"/>
          </reference>
          <reference field="0" count="1" selected="0">
            <x v="2"/>
          </reference>
        </references>
      </pivotArea>
    </chartFormat>
    <chartFormat chart="2" format="15">
      <pivotArea type="data" outline="0" fieldPosition="0">
        <references count="2">
          <reference field="4294967294" count="1" selected="0">
            <x v="0"/>
          </reference>
          <reference field="0" count="1" selected="0">
            <x v="3"/>
          </reference>
        </references>
      </pivotArea>
    </chartFormat>
    <chartFormat chart="2" format="16">
      <pivotArea type="data" outline="0" fieldPosition="0">
        <references count="2">
          <reference field="4294967294" count="1" selected="0">
            <x v="0"/>
          </reference>
          <reference field="0" count="1" selected="0">
            <x v="4"/>
          </reference>
        </references>
      </pivotArea>
    </chartFormat>
    <chartFormat chart="0" format="5">
      <pivotArea type="data" outline="0" fieldPosition="0">
        <references count="2">
          <reference field="4294967294" count="1" selected="0">
            <x v="0"/>
          </reference>
          <reference field="0" count="1" selected="0">
            <x v="2"/>
          </reference>
        </references>
      </pivotArea>
    </chartFormat>
  </chartFormat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Miles / Year"/>
    <pivotHierarchy dragToData="1"/>
  </pivotHierarchies>
  <pivotTableStyleInfo name="PivotStyleDark4"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r_Inventory_Dataset!$A$1:$N$5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DCA965-7B9B-49A0-90AD-E2E31F1DB061}" name="PivotTable1"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B5" firstHeaderRow="1" firstDataRow="1" firstDataCol="1"/>
  <pivotFields count="2">
    <pivotField axis="axisRow" allDrilled="1" subtotalTop="0" showAll="0" dataSourceSort="1" defaultSubtotal="0" defaultAttributeDrillState="1">
      <items count="1">
        <item s="1" x="0"/>
      </items>
    </pivotField>
    <pivotField dataField="1" subtotalTop="0" showAll="0" defaultSubtotal="0"/>
  </pivotFields>
  <rowFields count="1">
    <field x="0"/>
  </rowFields>
  <rowItems count="2">
    <i>
      <x/>
    </i>
    <i t="grand">
      <x/>
    </i>
  </rowItems>
  <colItems count="1">
    <i/>
  </colItems>
  <dataFields count="1">
    <dataField name="Sum of Total Profit" fld="1"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4A1B74-088E-4A25-B0B6-C4D1163AA3C3}" name="PivotTable3"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9:B23" firstHeaderRow="1" firstDataRow="1" firstDataCol="1"/>
  <pivotFields count="4">
    <pivotField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2"/>
  </rowFields>
  <rowItems count="4">
    <i>
      <x/>
    </i>
    <i>
      <x v="1"/>
    </i>
    <i>
      <x v="2"/>
    </i>
    <i t="grand">
      <x/>
    </i>
  </rowItems>
  <colItems count="1">
    <i/>
  </colItems>
  <dataFields count="1">
    <dataField name="Sum of Total Profit" fld="3"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C671E3-ADC7-405E-912F-04E1197775D6}" name="PivotTable2"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2:B14" firstHeaderRow="1" firstDataRow="1" firstDataCol="1"/>
  <pivotFields count="3">
    <pivotField allDrilled="1" subtotalTop="0" showAll="0" dataSourceSort="1" defaultSubtotal="0" defaultAttributeDrillState="1">
      <items count="1">
        <item s="1" x="0"/>
      </items>
    </pivotField>
    <pivotField axis="axisRow" allDrilled="1" subtotalTop="0" showAll="0" dataSourceSort="1" defaultSubtotal="0" defaultAttributeDrillState="1">
      <items count="1">
        <item s="1" x="0"/>
      </items>
    </pivotField>
    <pivotField dataField="1" subtotalTop="0" showAll="0" defaultSubtotal="0"/>
  </pivotFields>
  <rowFields count="1">
    <field x="1"/>
  </rowFields>
  <rowItems count="2">
    <i>
      <x/>
    </i>
    <i t="grand">
      <x/>
    </i>
  </rowItems>
  <colItems count="1">
    <i/>
  </colItems>
  <dataFields count="1">
    <dataField name="Sum of Commission" fld="2"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4D00B6-4425-459A-AED2-82876E6FAF1B}" name="PivotTable4"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5:B16" firstHeaderRow="1" firstDataRow="1" firstDataCol="1"/>
  <pivotFields count="3">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items count="1">
        <item s="1" x="0"/>
      </items>
    </pivotField>
    <pivotField dataField="1" subtotalTop="0" showAll="0" defaultSubtotal="0"/>
  </pivotFields>
  <rowFields count="1">
    <field x="0"/>
  </rowFields>
  <rowItems count="11">
    <i>
      <x v="2"/>
    </i>
    <i>
      <x/>
    </i>
    <i>
      <x v="4"/>
    </i>
    <i>
      <x v="3"/>
    </i>
    <i>
      <x v="8"/>
    </i>
    <i>
      <x v="7"/>
    </i>
    <i>
      <x v="5"/>
    </i>
    <i>
      <x v="9"/>
    </i>
    <i>
      <x v="1"/>
    </i>
    <i>
      <x v="6"/>
    </i>
    <i t="grand">
      <x/>
    </i>
  </rowItems>
  <colItems count="1">
    <i/>
  </colItems>
  <dataFields count="1">
    <dataField name="Sum of Total Profit" fld="2"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3849B0-8231-4A51-8E3B-6902A1271A87}" name="PivotTable6"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40:C45" firstHeaderRow="1" firstDataRow="2" firstDataCol="1"/>
  <pivotFields count="4">
    <pivotField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1">
        <item s="1" x="0"/>
      </items>
    </pivotField>
    <pivotField dataField="1" subtotalTop="0" showAll="0" defaultSubtotal="0"/>
  </pivotFields>
  <rowFields count="1">
    <field x="1"/>
  </rowFields>
  <rowItems count="4">
    <i>
      <x/>
    </i>
    <i>
      <x v="1"/>
    </i>
    <i>
      <x v="2"/>
    </i>
    <i t="grand">
      <x/>
    </i>
  </rowItems>
  <colFields count="1">
    <field x="2"/>
  </colFields>
  <colItems count="2">
    <i>
      <x/>
    </i>
    <i t="grand">
      <x/>
    </i>
  </colItems>
  <dataFields count="1">
    <dataField name="Sum of Quantity" fld="3"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6B90A4-C565-4660-9C38-B43CCCC368AA}" name="PivotTable5"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22:B35" firstHeaderRow="1" firstDataRow="1" firstDataCol="1"/>
  <pivotFields count="3">
    <pivotField allDrilled="1" subtotalTop="0" showAll="0" dataSourceSort="1" defaultSubtotal="0" defaultAttributeDrillState="1">
      <items count="1">
        <item s="1" x="0"/>
      </items>
    </pivotField>
    <pivotField axis="axisRow" allDrilled="1"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3">
    <i>
      <x v="11"/>
    </i>
    <i>
      <x v="1"/>
    </i>
    <i>
      <x v="9"/>
    </i>
    <i>
      <x v="8"/>
    </i>
    <i>
      <x v="2"/>
    </i>
    <i>
      <x v="6"/>
    </i>
    <i>
      <x v="3"/>
    </i>
    <i>
      <x/>
    </i>
    <i>
      <x v="7"/>
    </i>
    <i>
      <x v="10"/>
    </i>
    <i>
      <x v="5"/>
    </i>
    <i>
      <x v="4"/>
    </i>
    <i t="grand">
      <x/>
    </i>
  </rowItems>
  <colItems count="1">
    <i/>
  </colItems>
  <dataFields count="1">
    <dataField name="Sum of Total Sales Price" fld="2"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F401276-E5CE-4B42-BCA5-91AD12F3D86E}" name="PivotTable2" cacheId="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44:B57" firstHeaderRow="1" firstDataRow="1" firstDataCol="1"/>
  <pivotFields count="4">
    <pivotField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axis="axisRow" allDrilled="1" subtotalTop="0" showAll="0" defaultSubtotal="0" defaultAttributeDrillState="1">
      <items count="12">
        <item x="4"/>
        <item x="3"/>
        <item x="7"/>
        <item x="0"/>
        <item x="8"/>
        <item x="6"/>
        <item x="5"/>
        <item x="1"/>
        <item x="11"/>
        <item x="10"/>
        <item x="9"/>
        <item x="2"/>
      </items>
    </pivotField>
    <pivotField dataField="1" subtotalTop="0" showAll="0" defaultSubtotal="0"/>
  </pivotFields>
  <rowFields count="1">
    <field x="2"/>
  </rowFields>
  <rowItems count="13">
    <i>
      <x/>
    </i>
    <i>
      <x v="1"/>
    </i>
    <i>
      <x v="2"/>
    </i>
    <i>
      <x v="3"/>
    </i>
    <i>
      <x v="4"/>
    </i>
    <i>
      <x v="5"/>
    </i>
    <i>
      <x v="6"/>
    </i>
    <i>
      <x v="7"/>
    </i>
    <i>
      <x v="8"/>
    </i>
    <i>
      <x v="9"/>
    </i>
    <i>
      <x v="10"/>
    </i>
    <i>
      <x v="11"/>
    </i>
    <i t="grand">
      <x/>
    </i>
  </rowItems>
  <colItems count="1">
    <i/>
  </colItems>
  <dataFields count="1">
    <dataField name="Sum of Total Sales Price" fld="3" baseField="0" baseItem="0"/>
  </dataFields>
  <chartFormats count="1">
    <chartFormat chart="2" format="0"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F0F6570-5984-4A00-8C2C-AA433612E5C4}" name="PivotTable1" cacheId="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
  <location ref="A26:E38" firstHeaderRow="1" firstDataRow="2" firstDataCol="1"/>
  <pivotFields count="4">
    <pivotField allDrilled="1" subtotalTop="0" showAll="0" dataSourceSort="1" defaultSubtotal="0" defaultAttributeDrillState="1">
      <items count="1">
        <item s="1" x="0"/>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1"/>
  </rowFields>
  <rowItems count="11">
    <i>
      <x/>
    </i>
    <i>
      <x v="1"/>
    </i>
    <i>
      <x v="2"/>
    </i>
    <i>
      <x v="3"/>
    </i>
    <i>
      <x v="4"/>
    </i>
    <i>
      <x v="5"/>
    </i>
    <i>
      <x v="6"/>
    </i>
    <i>
      <x v="7"/>
    </i>
    <i>
      <x v="8"/>
    </i>
    <i>
      <x v="9"/>
    </i>
    <i t="grand">
      <x/>
    </i>
  </rowItems>
  <colFields count="1">
    <field x="3"/>
  </colFields>
  <colItems count="4">
    <i>
      <x/>
    </i>
    <i>
      <x v="1"/>
    </i>
    <i>
      <x v="2"/>
    </i>
    <i t="grand">
      <x/>
    </i>
  </colItems>
  <dataFields count="1">
    <dataField name="Sum of Quantity" fld="2"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1BE789D-6249-4824-9AED-509E0DB127E2}" name="PivotTable7" cacheId="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
  <location ref="A3:B16" firstHeaderRow="1" firstDataRow="1" firstDataCol="1"/>
  <pivotFields count="4">
    <pivotField allDrilled="1" subtotalTop="0" showAll="0" dataSourceSort="1" defaultSubtotal="0" defaultAttributeDrillState="1">
      <items count="1">
        <item s="1" x="0"/>
      </items>
    </pivotField>
    <pivotField allDrilled="1" subtotalTop="0" showAll="0" dataSourceSort="1" defaultSubtotal="0" defaultAttributeDrillState="1">
      <items count="1">
        <item s="1" x="0"/>
      </items>
    </pivotField>
    <pivotField dataField="1" subtotalTop="0" showAll="0" defaultSubtotal="0"/>
    <pivotField axis="axisRow" allDrilled="1" subtotalTop="0" showAll="0" defaultSubtotal="0" defaultAttributeDrillState="1">
      <items count="12">
        <item x="4"/>
        <item x="3"/>
        <item x="7"/>
        <item x="0"/>
        <item x="8"/>
        <item x="6"/>
        <item x="5"/>
        <item x="1"/>
        <item x="11"/>
        <item x="10"/>
        <item x="9"/>
        <item x="2"/>
      </items>
    </pivotField>
  </pivotFields>
  <rowFields count="1">
    <field x="3"/>
  </rowFields>
  <rowItems count="13">
    <i>
      <x/>
    </i>
    <i>
      <x v="1"/>
    </i>
    <i>
      <x v="2"/>
    </i>
    <i>
      <x v="3"/>
    </i>
    <i>
      <x v="4"/>
    </i>
    <i>
      <x v="5"/>
    </i>
    <i>
      <x v="6"/>
    </i>
    <i>
      <x v="7"/>
    </i>
    <i>
      <x v="8"/>
    </i>
    <i>
      <x v="9"/>
    </i>
    <i>
      <x v="10"/>
    </i>
    <i>
      <x v="11"/>
    </i>
    <i t="grand">
      <x/>
    </i>
  </rowItems>
  <colItems count="1">
    <i/>
  </colItems>
  <dataFields count="1">
    <dataField name="Sum of Total Profit" fld="2" baseField="0" baseItem="0"/>
  </dataFields>
  <chartFormats count="1">
    <chartFormat chart="0" format="0"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F2A4200-DE6F-40A1-8AC2-0E1DC568CBF8}" name="PivotTable3" cacheId="1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2:B5" firstHeaderRow="1" firstDataRow="1" firstDataCol="1"/>
  <pivotFields count="3">
    <pivotField axis="axisRow" allDrilled="1" subtotalTop="0" showAll="0" dataSourceSort="1" defaultSubtotal="0" defaultAttributeDrillState="1">
      <items count="2">
        <item s="1" x="0"/>
        <item s="1" x="1"/>
      </items>
    </pivotField>
    <pivotField allDrilled="1" subtotalTop="0" showAll="0" dataSourceSort="1" defaultSubtotal="0" defaultAttributeDrillState="1">
      <items count="1">
        <item s="1" x="0"/>
      </items>
    </pivotField>
    <pivotField dataField="1" subtotalTop="0" showAll="0" defaultSubtotal="0"/>
  </pivotFields>
  <rowFields count="1">
    <field x="0"/>
  </rowFields>
  <rowItems count="3">
    <i>
      <x/>
    </i>
    <i>
      <x v="1"/>
    </i>
    <i t="grand">
      <x/>
    </i>
  </rowItems>
  <colItems count="1">
    <i/>
  </colItems>
  <dataFields count="1">
    <dataField name="Sum of Total Profit" fld="2"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niola_Seeding_Afric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B250B26-937D-4681-864E-119EA3D98278}"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8:G61" firstHeaderRow="1" firstDataRow="3" firstDataCol="1"/>
  <pivotFields count="12">
    <pivotField showAll="0">
      <items count="21">
        <item x="0"/>
        <item x="1"/>
        <item x="2"/>
        <item x="3"/>
        <item x="4"/>
        <item x="5"/>
        <item x="6"/>
        <item x="7"/>
        <item x="8"/>
        <item x="9"/>
        <item x="10"/>
        <item x="11"/>
        <item x="12"/>
        <item x="13"/>
        <item x="14"/>
        <item x="15"/>
        <item x="16"/>
        <item x="17"/>
        <item x="18"/>
        <item x="19"/>
        <item t="default"/>
      </items>
    </pivotField>
    <pivotField axis="axisRow"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showAll="0"/>
    <pivotField axis="axisCol" multipleItemSelectionAllowed="1" showAll="0">
      <items count="3">
        <item x="1"/>
        <item x="0"/>
        <item t="default"/>
      </items>
    </pivotField>
    <pivotField showAll="0"/>
    <pivotField dataField="1" showAll="0"/>
    <pivotField showAll="0"/>
    <pivotField dataField="1" numFmtId="170" showAl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2">
    <field x="7"/>
    <field x="-2"/>
  </colFields>
  <colItems count="6">
    <i>
      <x/>
      <x/>
    </i>
    <i r="1" i="1">
      <x v="1"/>
    </i>
    <i>
      <x v="1"/>
      <x/>
    </i>
    <i r="1" i="1">
      <x v="1"/>
    </i>
    <i t="grand">
      <x/>
    </i>
    <i t="grand" i="1">
      <x/>
    </i>
  </colItems>
  <dataFields count="2">
    <dataField name="Sum of Salary" fld="9" baseField="1" baseItem="1"/>
    <dataField name="Sum of Compensation Mone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B0332F2-F947-45AA-ADA2-BC753B3EAE84}"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C33" firstHeaderRow="1" firstDataRow="2" firstDataCol="1"/>
  <pivotFields count="12">
    <pivotField showAll="0">
      <items count="21">
        <item x="0"/>
        <item x="1"/>
        <item x="2"/>
        <item x="3"/>
        <item x="4"/>
        <item x="5"/>
        <item x="6"/>
        <item x="7"/>
        <item x="8"/>
        <item x="9"/>
        <item x="10"/>
        <item x="11"/>
        <item x="12"/>
        <item x="13"/>
        <item x="14"/>
        <item x="15"/>
        <item x="16"/>
        <item x="17"/>
        <item x="18"/>
        <item x="19"/>
        <item t="default"/>
      </items>
    </pivotField>
    <pivotField axis="axisRow"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showAll="0"/>
    <pivotField axis="axisCol" multipleItemSelectionAllowed="1" showAll="0">
      <items count="3">
        <item x="1"/>
        <item h="1" x="0"/>
        <item t="default"/>
      </items>
    </pivotField>
    <pivotField showAll="0"/>
    <pivotField dataField="1" showAll="0"/>
    <pivotField showAll="0"/>
    <pivotField numFmtId="170" showAll="0"/>
  </pivotFields>
  <rowFields count="1">
    <field x="1"/>
  </rowFields>
  <rowItems count="13">
    <i>
      <x/>
    </i>
    <i>
      <x v="3"/>
    </i>
    <i>
      <x v="4"/>
    </i>
    <i>
      <x v="5"/>
    </i>
    <i>
      <x v="6"/>
    </i>
    <i>
      <x v="7"/>
    </i>
    <i>
      <x v="11"/>
    </i>
    <i>
      <x v="12"/>
    </i>
    <i>
      <x v="13"/>
    </i>
    <i>
      <x v="14"/>
    </i>
    <i>
      <x v="15"/>
    </i>
    <i>
      <x v="17"/>
    </i>
    <i t="grand">
      <x/>
    </i>
  </rowItems>
  <colFields count="1">
    <field x="7"/>
  </colFields>
  <colItems count="2">
    <i>
      <x/>
    </i>
    <i t="grand">
      <x/>
    </i>
  </colItems>
  <dataFields count="1">
    <dataField name="Sum of Salary" fld="9"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F45836-A075-4DE8-B39D-B81D7555EF5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C14" firstHeaderRow="1" firstDataRow="2" firstDataCol="1"/>
  <pivotFields count="12">
    <pivotField showAll="0"/>
    <pivotField axis="axisRow"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showAll="0"/>
    <pivotField axis="axisCol" multipleItemSelectionAllowed="1" showAll="0">
      <items count="3">
        <item h="1" x="1"/>
        <item x="0"/>
        <item t="default"/>
      </items>
    </pivotField>
    <pivotField showAll="0"/>
    <pivotField showAll="0"/>
    <pivotField showAll="0"/>
    <pivotField dataField="1" numFmtId="170" showAll="0"/>
  </pivotFields>
  <rowFields count="1">
    <field x="1"/>
  </rowFields>
  <rowItems count="9">
    <i>
      <x v="1"/>
    </i>
    <i>
      <x v="2"/>
    </i>
    <i>
      <x v="8"/>
    </i>
    <i>
      <x v="9"/>
    </i>
    <i>
      <x v="10"/>
    </i>
    <i>
      <x v="16"/>
    </i>
    <i>
      <x v="18"/>
    </i>
    <i>
      <x v="19"/>
    </i>
    <i t="grand">
      <x/>
    </i>
  </rowItems>
  <colFields count="1">
    <field x="7"/>
  </colFields>
  <colItems count="2">
    <i>
      <x v="1"/>
    </i>
    <i t="grand">
      <x/>
    </i>
  </colItems>
  <dataFields count="1">
    <dataField name="Sum of Compensation Mone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9802D71-065B-4DCE-9428-53E415A2E2C1}"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5" firstHeaderRow="1" firstDataRow="1" firstDataCol="1" rowPageCount="1" colPageCount="1"/>
  <pivotFields count="12">
    <pivotField showAll="0">
      <items count="21">
        <item x="0"/>
        <item x="1"/>
        <item x="2"/>
        <item x="3"/>
        <item x="4"/>
        <item x="5"/>
        <item x="6"/>
        <item x="7"/>
        <item x="8"/>
        <item x="9"/>
        <item x="10"/>
        <item x="11"/>
        <item x="12"/>
        <item x="13"/>
        <item x="14"/>
        <item x="15"/>
        <item x="16"/>
        <item x="17"/>
        <item x="18"/>
        <item x="19"/>
        <item t="default"/>
      </items>
    </pivotField>
    <pivotField dataField="1"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axis="axisRow" showAll="0">
      <items count="9">
        <item h="1" x="6"/>
        <item h="1" x="0"/>
        <item h="1" x="7"/>
        <item h="1" x="1"/>
        <item h="1" x="4"/>
        <item h="1" x="3"/>
        <item x="2"/>
        <item h="1" x="5"/>
        <item t="default"/>
      </items>
    </pivotField>
    <pivotField axis="axisPage" multipleItemSelectionAllowed="1" showAll="0">
      <items count="3">
        <item x="1"/>
        <item h="1" x="0"/>
        <item t="default"/>
      </items>
    </pivotField>
    <pivotField showAll="0"/>
    <pivotField showAll="0"/>
    <pivotField showAll="0"/>
    <pivotField numFmtId="170" showAll="0"/>
  </pivotFields>
  <rowFields count="1">
    <field x="6"/>
  </rowFields>
  <rowItems count="2">
    <i>
      <x v="6"/>
    </i>
    <i t="grand">
      <x/>
    </i>
  </rowItems>
  <colItems count="1">
    <i/>
  </colItems>
  <pageFields count="1">
    <pageField fld="7"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63BD1FE-74A6-4782-95C4-786C31C610AB}"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B6" firstHeaderRow="1" firstDataRow="1" firstDataCol="1" rowPageCount="1" colPageCount="1"/>
  <pivotFields count="12">
    <pivotField showAll="0">
      <items count="21">
        <item x="0"/>
        <item x="1"/>
        <item x="2"/>
        <item x="3"/>
        <item x="4"/>
        <item x="5"/>
        <item x="6"/>
        <item x="7"/>
        <item x="8"/>
        <item x="9"/>
        <item x="10"/>
        <item x="11"/>
        <item x="12"/>
        <item x="13"/>
        <item x="14"/>
        <item x="15"/>
        <item x="16"/>
        <item x="17"/>
        <item x="18"/>
        <item x="19"/>
        <item t="default"/>
      </items>
    </pivotField>
    <pivotField dataField="1"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axis="axisRow" showAll="0">
      <items count="9">
        <item h="1" x="6"/>
        <item h="1" x="0"/>
        <item h="1" x="7"/>
        <item x="1"/>
        <item h="1" x="4"/>
        <item h="1" x="3"/>
        <item h="1" x="2"/>
        <item h="1" x="5"/>
        <item t="default"/>
      </items>
    </pivotField>
    <pivotField axis="axisPage" multipleItemSelectionAllowed="1" showAll="0">
      <items count="3">
        <item x="1"/>
        <item h="1" x="0"/>
        <item t="default"/>
      </items>
    </pivotField>
    <pivotField showAll="0"/>
    <pivotField showAll="0"/>
    <pivotField showAll="0"/>
    <pivotField numFmtId="170" showAll="0"/>
  </pivotFields>
  <rowFields count="1">
    <field x="6"/>
  </rowFields>
  <rowItems count="2">
    <i>
      <x v="3"/>
    </i>
    <i t="grand">
      <x/>
    </i>
  </rowItems>
  <colItems count="1">
    <i/>
  </colItems>
  <pageFields count="1">
    <pageField fld="7"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1FABFCE-027B-4647-9385-327911BC08AC}"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1:B22" firstHeaderRow="1" firstDataRow="1" firstDataCol="1" rowPageCount="1" colPageCount="1"/>
  <pivotFields count="12">
    <pivotField showAll="0">
      <items count="21">
        <item x="0"/>
        <item x="1"/>
        <item x="2"/>
        <item x="3"/>
        <item x="4"/>
        <item x="5"/>
        <item x="6"/>
        <item x="7"/>
        <item x="8"/>
        <item x="9"/>
        <item x="10"/>
        <item x="11"/>
        <item x="12"/>
        <item x="13"/>
        <item x="14"/>
        <item x="15"/>
        <item x="16"/>
        <item x="17"/>
        <item x="18"/>
        <item x="19"/>
        <item t="default"/>
      </items>
    </pivotField>
    <pivotField dataField="1"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axis="axisRow" showAll="0">
      <items count="9">
        <item h="1" x="6"/>
        <item x="0"/>
        <item h="1" x="7"/>
        <item h="1" x="1"/>
        <item h="1" x="4"/>
        <item h="1" x="3"/>
        <item h="1" x="2"/>
        <item h="1" x="5"/>
        <item t="default"/>
      </items>
    </pivotField>
    <pivotField axis="axisPage" multipleItemSelectionAllowed="1" showAll="0">
      <items count="3">
        <item x="1"/>
        <item h="1" x="0"/>
        <item t="default"/>
      </items>
    </pivotField>
    <pivotField showAll="0"/>
    <pivotField showAll="0"/>
    <pivotField showAll="0"/>
    <pivotField numFmtId="170" showAll="0"/>
  </pivotFields>
  <rowFields count="1">
    <field x="6"/>
  </rowFields>
  <rowItems count="1">
    <i t="grand">
      <x/>
    </i>
  </rowItems>
  <colItems count="1">
    <i/>
  </colItems>
  <pageFields count="1">
    <pageField fld="7"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49F10F4-937B-4659-8D81-8D326CC3B823}"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B8" firstHeaderRow="1" firstDataRow="1" firstDataCol="1" rowPageCount="1" colPageCount="1"/>
  <pivotFields count="12">
    <pivotField showAll="0">
      <items count="21">
        <item x="0"/>
        <item x="1"/>
        <item x="2"/>
        <item x="3"/>
        <item x="4"/>
        <item x="5"/>
        <item x="6"/>
        <item x="7"/>
        <item x="8"/>
        <item x="9"/>
        <item x="10"/>
        <item x="11"/>
        <item x="12"/>
        <item x="13"/>
        <item x="14"/>
        <item x="15"/>
        <item x="16"/>
        <item x="17"/>
        <item x="18"/>
        <item x="19"/>
        <item t="default"/>
      </items>
    </pivotField>
    <pivotField dataField="1" showAll="0">
      <items count="21">
        <item x="6"/>
        <item x="4"/>
        <item x="1"/>
        <item x="14"/>
        <item x="3"/>
        <item x="17"/>
        <item x="10"/>
        <item x="8"/>
        <item x="16"/>
        <item x="5"/>
        <item x="0"/>
        <item x="12"/>
        <item x="19"/>
        <item x="7"/>
        <item x="18"/>
        <item x="9"/>
        <item x="15"/>
        <item x="13"/>
        <item x="2"/>
        <item x="11"/>
        <item t="default"/>
      </items>
    </pivotField>
    <pivotField showAll="0"/>
    <pivotField showAll="0"/>
    <pivotField showAll="0"/>
    <pivotField showAll="0"/>
    <pivotField axis="axisRow" showAll="0">
      <items count="9">
        <item h="1" x="6"/>
        <item h="1" x="0"/>
        <item h="1" x="7"/>
        <item h="1" x="1"/>
        <item x="4"/>
        <item x="3"/>
        <item x="2"/>
        <item h="1" x="5"/>
        <item t="default"/>
      </items>
    </pivotField>
    <pivotField axis="axisPage" multipleItemSelectionAllowed="1" showAll="0">
      <items count="3">
        <item x="1"/>
        <item h="1" x="0"/>
        <item t="default"/>
      </items>
    </pivotField>
    <pivotField showAll="0"/>
    <pivotField showAll="0"/>
    <pivotField showAll="0"/>
    <pivotField numFmtId="170" showAll="0"/>
  </pivotFields>
  <rowFields count="1">
    <field x="6"/>
  </rowFields>
  <rowItems count="3">
    <i>
      <x v="4"/>
    </i>
    <i>
      <x v="6"/>
    </i>
    <i t="grand">
      <x/>
    </i>
  </rowItems>
  <colItems count="1">
    <i/>
  </colItems>
  <pageFields count="1">
    <pageField fld="7" hier="-1"/>
  </pageField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11EFC16C-97D2-46D5-A9D4-0A1FA027219E}" sourceName="[Range].[Model]">
  <pivotTables>
    <pivotTable tabId="29" name="PivotTable1"/>
  </pivotTables>
  <data>
    <olap pivotCacheId="553910815">
      <levels count="2">
        <level uniqueName="[Range].[Model].[(All)]" sourceCaption="(All)" count="0"/>
        <level uniqueName="[Range].[Model].[Model]" sourceCaption="Model" count="11">
          <ranges>
            <range startItem="0">
              <i n="[Range].[Model].&amp;[CAM]" c="CAM"/>
              <i n="[Range].[Model].&amp;[CAR]" c="CAR"/>
              <i n="[Range].[Model].&amp;[CIV]" c="CIV"/>
              <i n="[Range].[Model].&amp;[CMR]" c="CMR"/>
              <i n="[Range].[Model].&amp;[COR]" c="COR"/>
              <i n="[Range].[Model].&amp;[ELA]" c="ELA"/>
              <i n="[Range].[Model].&amp;[FCS]" c="FCS"/>
              <i n="[Range].[Model].&amp;[MTG]" c="MTG"/>
              <i n="[Range].[Model].&amp;[ODY]" c="ODY"/>
              <i n="[Range].[Model].&amp;[PTC]" c="PTC"/>
              <i n="[Range].[Model].&amp;[SLV]" c="SLV"/>
            </range>
          </ranges>
        </level>
      </levels>
      <selections count="1">
        <selection n="[Range].[Model].[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les" xr10:uid="{991A1F43-825A-436F-B771-430DFF892CBA}" sourceName="[Range].[Miles]">
  <pivotTables>
    <pivotTable tabId="29" name="PivotTable1"/>
  </pivotTables>
  <data>
    <olap pivotCacheId="553910815">
      <levels count="2">
        <level uniqueName="[Range].[Miles].[(All)]" sourceCaption="(All)" count="0"/>
        <level uniqueName="[Range].[Miles].[Miles]" sourceCaption="Miles" count="52">
          <ranges>
            <range startItem="0">
              <i n="[Range].[Miles].&amp;[3.7081E3]" c="3708.1"/>
              <i n="[Range].[Miles].&amp;[1.36829E4]" c="13682.9"/>
              <i n="[Range].[Miles].&amp;[1.38676E4]" c="13867.6"/>
              <i n="[Range].[Miles].&amp;[1.42896E4]" c="14289.6"/>
              <i n="[Range].[Miles].&amp;[1.75563E4]" c="17556.3"/>
              <i n="[Range].[Miles].&amp;[1.93417E4]" c="19341.7"/>
              <i n="[Range].[Miles].&amp;[1.94211E4]" c="19421.1"/>
              <i n="[Range].[Miles].&amp;[2.02239E4]" c="20223.9"/>
              <i n="[Range].[Miles].&amp;[2.21282E4]" c="22128.2"/>
              <i n="[Range].[Miles].&amp;[2.21885E4]" c="22188.5"/>
              <i n="[Range].[Miles].&amp;[2.2282E4]" c="22282"/>
              <i n="[Range].[Miles].&amp;[2.25216E4]" c="22521.6"/>
              <i n="[Range].[Miles].&amp;[2.2573E4]" c="22573"/>
              <i n="[Range].[Miles].&amp;[2.45132E4]" c="24513.2"/>
              <i n="[Range].[Miles].&amp;[2.73942E4]" c="27394.2"/>
              <i n="[Range].[Miles].&amp;[2.75348E4]" c="27534.8"/>
              <i n="[Range].[Miles].&amp;[2.76371E4]" c="27637.1"/>
              <i n="[Range].[Miles].&amp;[2.84648E4]" c="28464.8"/>
              <i n="[Range].[Miles].&amp;[2.91023E4]" c="29102.3"/>
              <i n="[Range].[Miles].&amp;[2.96019E4]" c="29601.9"/>
              <i n="[Range].[Miles].&amp;[3.05553E4]" c="30555.3"/>
              <i n="[Range].[Miles].&amp;[3.11444E4]" c="31144.4"/>
              <i n="[Range].[Miles].&amp;[3.34772E4]" c="33477.2"/>
              <i n="[Range].[Miles].&amp;[3.5137E4]" c="35137"/>
              <i n="[Range].[Miles].&amp;[3.64385E4]" c="36438.5"/>
              <i n="[Range].[Miles].&amp;[3.75588E4]" c="37558.8"/>
              <i n="[Range].[Miles].&amp;[4.03268E4]" c="40326.8"/>
              <i n="[Range].[Miles].&amp;[4.20742E4]" c="42074.2"/>
              <i n="[Range].[Miles].&amp;[4.25046E4]" c="42504.6"/>
              <i n="[Range].[Miles].&amp;[4.49465E4]" c="44946.5"/>
              <i n="[Range].[Miles].&amp;[4.49748E4]" c="44974.8"/>
              <i n="[Range].[Miles].&amp;[4.63114E4]" c="46311.4"/>
              <i n="[Range].[Miles].&amp;[4.81142E4]" c="48114.2"/>
              <i n="[Range].[Miles].&amp;[5.08541E4]" c="50854.1"/>
              <i n="[Range].[Miles].&amp;[5.22295E4]" c="52229.5"/>
              <i n="[Range].[Miles].&amp;[5.26994E4]" c="52699.4"/>
              <i n="[Range].[Miles].&amp;[6.03895E4]" c="60389.5"/>
              <i n="[Range].[Miles].&amp;[6.44674E4]" c="64467.4"/>
              <i n="[Range].[Miles].&amp;[6.4542E4]" c="64542"/>
              <i n="[Range].[Miles].&amp;[6.78291E4]" c="67829.1"/>
              <i n="[Range].[Miles].&amp;[6.86589E4]" c="68658.9"/>
              <i n="[Range].[Miles].&amp;[6.98919E4]" c="69891.9"/>
              <i n="[Range].[Miles].&amp;[7.25272E4]" c="72527.2"/>
              <i n="[Range].[Miles].&amp;[7.34444E4]" c="73444.4"/>
              <i n="[Range].[Miles].&amp;[7.72431E4]" c="77243.1"/>
              <i n="[Range].[Miles].&amp;[7.94206E4]" c="79420.6"/>
              <i n="[Range].[Miles].&amp;[8.06858E4]" c="80685.8"/>
              <i n="[Range].[Miles].&amp;[8.2374E4]" c="82374"/>
              <i n="[Range].[Miles].&amp;[8.31627E4]" c="83162.7"/>
              <i n="[Range].[Miles].&amp;[8.5928E4]" c="85928"/>
              <i n="[Range].[Miles].&amp;[9.33826E4]" c="93382.6"/>
              <i n="[Range].[Miles].&amp;[1.146606E5]" c="114660.6"/>
            </range>
          </ranges>
        </level>
      </levels>
      <selections count="1">
        <selection n="[Range].[Miles].[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_Full_Name" xr10:uid="{18F4F5C9-6B17-423E-BCF8-442109B74C29}" sourceName="[Range].[Model (Full Name)]">
  <pivotTables>
    <pivotTable tabId="29" name="PivotTable2"/>
  </pivotTables>
  <data>
    <olap pivotCacheId="553910815">
      <levels count="2">
        <level uniqueName="[Range].[Model (Full Name)].[(All)]" sourceCaption="(All)" count="0"/>
        <level uniqueName="[Range].[Model (Full Name)].[Model (Full Name)]" sourceCaption="Model (Full Name)" count="11">
          <ranges>
            <range startItem="0">
              <i n="[Range].[Model (Full Name)].&amp;[Camara]" c="Camara"/>
              <i n="[Range].[Model (Full Name)].&amp;[Camry]" c="Camry"/>
              <i n="[Range].[Model (Full Name)].&amp;[Caravan]" c="Caravan"/>
              <i n="[Range].[Model (Full Name)].&amp;[Civic]" c="Civic"/>
              <i n="[Range].[Model (Full Name)].&amp;[Corolla]" c="Corolla"/>
              <i n="[Range].[Model (Full Name)].&amp;[Elantra]" c="Elantra"/>
              <i n="[Range].[Model (Full Name)].&amp;[Focus]" c="Focus"/>
              <i n="[Range].[Model (Full Name)].&amp;[Mustang]" c="Mustang"/>
              <i n="[Range].[Model (Full Name)].&amp;[Odyssey]" c="Odyssey"/>
              <i n="[Range].[Model (Full Name)].&amp;[Pontiac]" c="Pontiac"/>
              <i n="[Range].[Model (Full Name)].&amp;[Saloon]" c="Saloon"/>
            </range>
          </ranges>
        </level>
      </levels>
      <selections count="1">
        <selection n="[Range].[Model (Full Nam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les___Year" xr10:uid="{FD5DC0E4-C9B6-4155-98C0-A0E7F8BDADD9}" sourceName="[Range].[Miles / Year]">
  <pivotTables>
    <pivotTable tabId="29" name="PivotTable2"/>
  </pivotTables>
  <data>
    <olap pivotCacheId="553910815">
      <levels count="2">
        <level uniqueName="[Range].[Miles / Year].[(All)]" sourceCaption="(All)" count="0"/>
        <level uniqueName="[Range].[Miles / Year].[Miles / Year]" sourceCaption="Miles / Year" count="52">
          <ranges>
            <range startItem="0">
              <i n="[Range].[Miles / Year].&amp;[3.3709999999999996E2]" c="337.1"/>
              <i n="[Range].[Miles / Year].&amp;[1.1402416666666665E3]" c="1140.24166666667"/>
              <i n="[Range].[Miles / Year].&amp;[1.1556333333333334E3]" c="1155.63333333333"/>
              <i n="[Range].[Miles / Year].&amp;[1.2990545454545454E3]" c="1299.05454545455"/>
              <i n="[Range].[Miles / Year].&amp;[1.487823076923077E3]" c="1487.82307692308"/>
              <i n="[Range].[Miles / Year].&amp;[1.493930769230769E3]" c="1493.93076923077"/>
              <i n="[Range].[Miles / Year].&amp;[1.5048666666666665E3]" c="1504.86666666667"/>
              <i n="[Range].[Miles / Year].&amp;[1.5960272727272727E3]" c="1596.02727272727"/>
              <i n="[Range].[Miles / Year].&amp;[1.685325E3]" c="1685.325"/>
              <i n="[Range].[Miles / Year].&amp;[1.7021692307692308E3]" c="1702.16923076923"/>
              <i n="[Range].[Miles / Year].&amp;[1.714E3]" c="1714"/>
              <i n="[Range].[Miles / Year].&amp;[1.77905E3]" c="1779.05"/>
              <i n="[Range].[Miles / Year].&amp;[1.8490416666666667E3]" c="1849.04166666667"/>
              <i n="[Range].[Miles / Year].&amp;[1.8768E3]" c="1876.8"/>
              <i n="[Range].[Miles / Year].&amp;[1.8856307692307693E3]" c="1885.63076923077"/>
              <i n="[Range].[Miles / Year].&amp;[1.9567285714285715E3]" c="1956.72857142857"/>
              <i n="[Range].[Miles / Year].&amp;[2.0762933333333335E3]" c="2076.29333333333"/>
              <i n="[Range].[Miles / Year].&amp;[2.078735714285714E3]" c="2078.73571428571"/>
              <i n="[Range].[Miles / Year].&amp;[2.122463157894737E3]" c="2122.46315789474"/>
              <i n="[Range].[Miles / Year].&amp;[2.1434411764705883E3]" c="2143.44117647059"/>
              <i n="[Range].[Miles / Year].&amp;[2.1825214285714287E3]" c="2182.52142857143"/>
              <i n="[Range].[Miles / Year].&amp;[2.1960625E3]" c="2196.0625"/>
              <i n="[Range].[Miles / Year].&amp;[2.2093411764705884E3]" c="2209.34117647059"/>
              <i n="[Range].[Miles / Year].&amp;[2.231813333333333E3]" c="2231.81333333333"/>
              <i n="[Range].[Miles / Year].&amp;[2.2770692307692306E3]" c="2277.06923076923"/>
              <i n="[Range].[Miles / Year].&amp;[2.2945666666666666E3]" c="2294.56666666667"/>
              <i n="[Range].[Miles / Year].&amp;[2.3030916666666667E3]" c="2303.09166666667"/>
              <i n="[Range].[Miles / Year].&amp;[2.3374555555555553E3]" c="2337.45555555556"/>
              <i n="[Range].[Miles / Year].&amp;[2.3670947368421052E3]" c="2367.09473684211"/>
              <i n="[Range].[Miles / Year].&amp;[2.437442105263158E3]" c="2437.44210526316"/>
              <i n="[Range].[Miles / Year].&amp;[2.500270588235294E3]" c="2500.27058823529"/>
              <i n="[Range].[Miles / Year].&amp;[2.509495238095238E3]" c="2509.49523809524"/>
              <i n="[Range].[Miles / Year].&amp;[2.6439117647058824E3]" c="2643.91176470588"/>
              <i n="[Range].[Miles / Year].&amp;[2.7489210526315787E3]" c="2748.92105263158"/>
              <i n="[Range].[Miles / Year].&amp;[2.8029304347826087E3]" c="2802.93043478261"/>
              <i n="[Range].[Miles / Year].&amp;[2.8252277777777776E3]" c="2825.22777777778"/>
              <i n="[Range].[Miles / Year].&amp;[2.8607875E3]" c="2860.7875"/>
              <i n="[Range].[Miles / Year].&amp;[2.9121625E3]" c="2912.1625"/>
              <i n="[Range].[Miles / Year].&amp;[2.9490913043478263E3]" c="2949.09130434783"/>
              <i n="[Range].[Miles / Year].&amp;[3.0071375E3]" c="3007.1375"/>
              <i n="[Range].[Miles / Year].&amp;[3.019475E3]" c="3019.475"/>
              <i n="[Range].[Miles / Year].&amp;[3.054638461538462E3]" c="3054.63846153846"/>
              <i n="[Range].[Miles / Year].&amp;[3.0734285714285715E3]" c="3073.42857142857"/>
              <i n="[Range].[Miles / Year].&amp;[3.0801E3]" c="3080.1"/>
              <i n="[Range].[Miles / Year].&amp;[3.089724E3]" c="3089.724"/>
              <i n="[Range].[Miles / Year].&amp;[3.168230769230769E3]" c="3168.23076923077"/>
              <i n="[Range].[Miles / Year].&amp;[3.2274320000000002E3]" c="3227.432"/>
              <i n="[Range].[Miles / Year].&amp;[3.338381818181818E3]" c="3338.38181818182"/>
              <i n="[Range].[Miles / Year].&amp;[3.43712E3]" c="3437.12"/>
              <i n="[Range].[Miles / Year].&amp;[3.45367619047619E3]" c="3453.67619047619"/>
              <i n="[Range].[Miles / Year].&amp;[3.458614814814815E3]" c="3458.61481481481"/>
              <i n="[Range].[Miles / Year].&amp;[3.9538137931034484E3]" c="3953.81379310345"/>
            </range>
          </ranges>
        </level>
      </levels>
      <selections count="1">
        <selection n="[Range].[Miles / Year].[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ID" xr10:uid="{0FFF3E6E-6957-49D5-8BC5-E05C11410C1D}" sourceName="[Range].[Car ID]">
  <pivotTables>
    <pivotTable tabId="29" name="PivotTable3"/>
  </pivotTables>
  <data>
    <olap pivotCacheId="553910815">
      <levels count="2">
        <level uniqueName="[Range].[Car ID].[(All)]" sourceCaption="(All)" count="0"/>
        <level uniqueName="[Range].[Car ID].[Car ID]" sourceCaption="Car ID" count="52">
          <ranges>
            <range startItem="0">
              <i n="[Range].[Car ID].&amp;[CR00CAR046]" c="CR00CAR046"/>
              <i n="[Range].[Car ID].&amp;[CR04CAR047]" c="CR04CAR047"/>
              <i n="[Range].[Car ID].&amp;[CR04CAR048]" c="CR04CAR048"/>
              <i n="[Range].[Car ID].&amp;[CR04PTC042]" c="CR04PTC042"/>
              <i n="[Range].[Car ID].&amp;[CR07PTC043]" c="CR07PTC043"/>
              <i n="[Range].[Car ID].&amp;[CR11PTC044]" c="CR11PTC044"/>
              <i n="[Range].[Car ID].&amp;[CR99CAR045]" c="CR99CAR045"/>
              <i n="[Range].[Car ID].&amp;[FD06FCS006]" c="FD06FCS006"/>
              <i n="[Range].[Car ID].&amp;[FD06FCS007]" c="FD06FCS007"/>
              <i n="[Range].[Car ID].&amp;[FD06MTG001]" c="FD06MTG001"/>
              <i n="[Range].[Car ID].&amp;[FD06MTG002]" c="FD06MTG002"/>
              <i n="[Range].[Car ID].&amp;[FD08MTG003]" c="FD08MTG003"/>
              <i n="[Range].[Car ID].&amp;[FD08MTG004]" c="FD08MTG004"/>
              <i n="[Range].[Car ID].&amp;[FD08MTG005]" c="FD08MTG005"/>
              <i n="[Range].[Car ID].&amp;[FD09FCS008]" c="FD09FCS008"/>
              <i n="[Range].[Car ID].&amp;[FD12FCS011]" c="FD12FCS011"/>
              <i n="[Range].[Car ID].&amp;[FD13FCS009]" c="FD13FCS009"/>
              <i n="[Range].[Car ID].&amp;[FD13FCS010]" c="FD13FCS010"/>
              <i n="[Range].[Car ID].&amp;[FD13FCS012]" c="FD13FCS012"/>
              <i n="[Range].[Car ID].&amp;[FD13FCS013]" c="FD13FCS013"/>
              <i n="[Range].[Car ID].&amp;[GM00SLV019]" c="GM00SLV019"/>
              <i n="[Range].[Car ID].&amp;[GM09CMR014]" c="GM09CMR014"/>
              <i n="[Range].[Car ID].&amp;[GM10SLV017]" c="GM10SLV017"/>
              <i n="[Range].[Car ID].&amp;[GM12CMR015]" c="GM12CMR015"/>
              <i n="[Range].[Car ID].&amp;[GM14CMR016]" c="GM14CMR016"/>
              <i n="[Range].[Car ID].&amp;[GM98SLV018]" c="GM98SLV018"/>
              <i n="[Range].[Car ID].&amp;[HO01CIV031]" c="HO01CIV031"/>
              <i n="[Range].[Car ID].&amp;[HO01ODY040]" c="HO01ODY040"/>
              <i n="[Range].[Car ID].&amp;[HO05ODY037]" c="HO05ODY037"/>
              <i n="[Range].[Car ID].&amp;[HO07ODY038]" c="HO07ODY038"/>
              <i n="[Range].[Car ID].&amp;[HO08ODY039]" c="HO08ODY039"/>
              <i n="[Range].[Car ID].&amp;[HO10CIV032]" c="HO10CIV032"/>
              <i n="[Range].[Car ID].&amp;[HO10CIV033]" c="HO10CIV033"/>
              <i n="[Range].[Car ID].&amp;[HO11CIV034]" c="HO11CIV034"/>
              <i n="[Range].[Car ID].&amp;[HO12CIV035]" c="HO12CIV035"/>
              <i n="[Range].[Car ID].&amp;[HO13CIV036]" c="HO13CIV036"/>
              <i n="[Range].[Car ID].&amp;[HO14ODY041]" c="HO14ODY041"/>
              <i n="[Range].[Car ID].&amp;[HO99CIV030]" c="HO99CIV030"/>
              <i n="[Range].[Car ID].&amp;[HY11ELA049]" c="HY11ELA049"/>
              <i n="[Range].[Car ID].&amp;[HY12ELA050]" c="HY12ELA050"/>
              <i n="[Range].[Car ID].&amp;[HY13ELA051]" c="HY13ELA051"/>
              <i n="[Range].[Car ID].&amp;[HY13ELA052]" c="HY13ELA052"/>
              <i n="[Range].[Car ID].&amp;[TY00CAM022]" c="TY00CAM022"/>
              <i n="[Range].[Car ID].&amp;[TY02CAM023]" c="TY02CAM023"/>
              <i n="[Range].[Car ID].&amp;[TY02COR025]" c="TY02COR025"/>
              <i n="[Range].[Car ID].&amp;[TY03COR026]" c="TY03COR026"/>
              <i n="[Range].[Car ID].&amp;[TY09CAM024]" c="TY09CAM024"/>
              <i n="[Range].[Car ID].&amp;[TY12CAM029]" c="TY12CAM029"/>
              <i n="[Range].[Car ID].&amp;[TY12COR028]" c="TY12COR028"/>
              <i n="[Range].[Car ID].&amp;[TY14COR027]" c="TY14COR027"/>
              <i n="[Range].[Car ID].&amp;[TY96CAM020]" c="TY96CAM020"/>
              <i n="[Range].[Car ID].&amp;[TY98CAM021]" c="TY98CAM021"/>
            </range>
          </ranges>
        </level>
      </levels>
      <selections count="1">
        <selection n="[Range].[Car ID].[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vered?" xr10:uid="{E6DA2F34-86FF-48A3-8D75-931CC0FCF830}" sourceName="[Range].[Covered?]">
  <pivotTables>
    <pivotTable tabId="29" name="PivotTable3"/>
  </pivotTables>
  <data>
    <olap pivotCacheId="553910815">
      <levels count="2">
        <level uniqueName="[Range].[Covered?].[(All)]" sourceCaption="(All)" count="0"/>
        <level uniqueName="[Range].[Covered?].[Covered?]" sourceCaption="Covered?" count="2">
          <ranges>
            <range startItem="0">
              <i n="[Range].[Covered?].&amp;[Covered]" c="Covered"/>
              <i n="[Range].[Covered?].&amp;[Not Covered]" c="Not Covered"/>
            </range>
          </ranges>
        </level>
      </levels>
      <selections count="1">
        <selection n="[Range].[Covered?].[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D05A0C3C-790B-4092-8C61-152216CC0083}" sourceName="[Range].[Model]">
  <pivotTables>
    <pivotTable tabId="30" name="PivotTable4"/>
  </pivotTables>
  <data>
    <olap pivotCacheId="553910815">
      <levels count="2">
        <level uniqueName="[Range].[Model].[(All)]" sourceCaption="(All)" count="0"/>
        <level uniqueName="[Range].[Model].[Model]" sourceCaption="Model" count="11">
          <ranges>
            <range startItem="0">
              <i n="[Range].[Model].&amp;[CAM]" c="CAM"/>
              <i n="[Range].[Model].&amp;[CAR]" c="CAR"/>
              <i n="[Range].[Model].&amp;[CIV]" c="CIV"/>
              <i n="[Range].[Model].&amp;[CMR]" c="CMR"/>
              <i n="[Range].[Model].&amp;[COR]" c="COR"/>
              <i n="[Range].[Model].&amp;[ELA]" c="ELA"/>
              <i n="[Range].[Model].&amp;[FCS]" c="FCS"/>
              <i n="[Range].[Model].&amp;[MTG]" c="MTG"/>
              <i n="[Range].[Model].&amp;[ODY]" c="ODY"/>
              <i n="[Range].[Model].&amp;[PTC]" c="PTC"/>
              <i n="[Range].[Model].&amp;[SLV]" c="SLV"/>
            </range>
          </ranges>
        </level>
      </levels>
      <selections count="1">
        <selection n="[Range].[Model].[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les___Year1" xr10:uid="{1B733B07-7D4D-445F-AF3C-C6D5B6DE4056}" sourceName="[Range].[Miles / Year]">
  <pivotTables>
    <pivotTable tabId="30" name="PivotTable4"/>
  </pivotTables>
  <data>
    <olap pivotCacheId="553910815">
      <levels count="2">
        <level uniqueName="[Range].[Miles / Year].[(All)]" sourceCaption="(All)" count="0"/>
        <level uniqueName="[Range].[Miles / Year].[Miles / Year]" sourceCaption="Miles / Year" count="52">
          <ranges>
            <range startItem="0">
              <i n="[Range].[Miles / Year].&amp;[3.3709999999999996E2]" c="337.1"/>
              <i n="[Range].[Miles / Year].&amp;[1.1402416666666665E3]" c="1140.24166666667"/>
              <i n="[Range].[Miles / Year].&amp;[1.1556333333333334E3]" c="1155.63333333333"/>
              <i n="[Range].[Miles / Year].&amp;[1.2990545454545454E3]" c="1299.05454545455"/>
              <i n="[Range].[Miles / Year].&amp;[1.487823076923077E3]" c="1487.82307692308"/>
              <i n="[Range].[Miles / Year].&amp;[1.493930769230769E3]" c="1493.93076923077"/>
              <i n="[Range].[Miles / Year].&amp;[1.5048666666666665E3]" c="1504.86666666667"/>
              <i n="[Range].[Miles / Year].&amp;[1.5960272727272727E3]" c="1596.02727272727"/>
              <i n="[Range].[Miles / Year].&amp;[1.685325E3]" c="1685.325"/>
              <i n="[Range].[Miles / Year].&amp;[1.7021692307692308E3]" c="1702.16923076923"/>
              <i n="[Range].[Miles / Year].&amp;[1.714E3]" c="1714"/>
              <i n="[Range].[Miles / Year].&amp;[1.77905E3]" c="1779.05"/>
              <i n="[Range].[Miles / Year].&amp;[1.8490416666666667E3]" c="1849.04166666667"/>
              <i n="[Range].[Miles / Year].&amp;[1.8768E3]" c="1876.8"/>
              <i n="[Range].[Miles / Year].&amp;[1.8856307692307693E3]" c="1885.63076923077"/>
              <i n="[Range].[Miles / Year].&amp;[1.9567285714285715E3]" c="1956.72857142857"/>
              <i n="[Range].[Miles / Year].&amp;[2.0762933333333335E3]" c="2076.29333333333"/>
              <i n="[Range].[Miles / Year].&amp;[2.078735714285714E3]" c="2078.73571428571"/>
              <i n="[Range].[Miles / Year].&amp;[2.122463157894737E3]" c="2122.46315789474"/>
              <i n="[Range].[Miles / Year].&amp;[2.1434411764705883E3]" c="2143.44117647059"/>
              <i n="[Range].[Miles / Year].&amp;[2.1825214285714287E3]" c="2182.52142857143"/>
              <i n="[Range].[Miles / Year].&amp;[2.1960625E3]" c="2196.0625"/>
              <i n="[Range].[Miles / Year].&amp;[2.2093411764705884E3]" c="2209.34117647059"/>
              <i n="[Range].[Miles / Year].&amp;[2.231813333333333E3]" c="2231.81333333333"/>
              <i n="[Range].[Miles / Year].&amp;[2.2770692307692306E3]" c="2277.06923076923"/>
              <i n="[Range].[Miles / Year].&amp;[2.2945666666666666E3]" c="2294.56666666667"/>
              <i n="[Range].[Miles / Year].&amp;[2.3030916666666667E3]" c="2303.09166666667"/>
              <i n="[Range].[Miles / Year].&amp;[2.3374555555555553E3]" c="2337.45555555556"/>
              <i n="[Range].[Miles / Year].&amp;[2.3670947368421052E3]" c="2367.09473684211"/>
              <i n="[Range].[Miles / Year].&amp;[2.437442105263158E3]" c="2437.44210526316"/>
              <i n="[Range].[Miles / Year].&amp;[2.500270588235294E3]" c="2500.27058823529"/>
              <i n="[Range].[Miles / Year].&amp;[2.509495238095238E3]" c="2509.49523809524"/>
              <i n="[Range].[Miles / Year].&amp;[2.6439117647058824E3]" c="2643.91176470588"/>
              <i n="[Range].[Miles / Year].&amp;[2.7489210526315787E3]" c="2748.92105263158"/>
              <i n="[Range].[Miles / Year].&amp;[2.8029304347826087E3]" c="2802.93043478261"/>
              <i n="[Range].[Miles / Year].&amp;[2.8252277777777776E3]" c="2825.22777777778"/>
              <i n="[Range].[Miles / Year].&amp;[2.8607875E3]" c="2860.7875"/>
              <i n="[Range].[Miles / Year].&amp;[2.9121625E3]" c="2912.1625"/>
              <i n="[Range].[Miles / Year].&amp;[2.9490913043478263E3]" c="2949.09130434783"/>
              <i n="[Range].[Miles / Year].&amp;[3.0071375E3]" c="3007.1375"/>
              <i n="[Range].[Miles / Year].&amp;[3.019475E3]" c="3019.475"/>
              <i n="[Range].[Miles / Year].&amp;[3.054638461538462E3]" c="3054.63846153846"/>
              <i n="[Range].[Miles / Year].&amp;[3.0734285714285715E3]" c="3073.42857142857"/>
              <i n="[Range].[Miles / Year].&amp;[3.0801E3]" c="3080.1"/>
              <i n="[Range].[Miles / Year].&amp;[3.089724E3]" c="3089.724"/>
              <i n="[Range].[Miles / Year].&amp;[3.168230769230769E3]" c="3168.23076923077"/>
              <i n="[Range].[Miles / Year].&amp;[3.2274320000000002E3]" c="3227.432"/>
              <i n="[Range].[Miles / Year].&amp;[3.338381818181818E3]" c="3338.38181818182"/>
              <i n="[Range].[Miles / Year].&amp;[3.43712E3]" c="3437.12"/>
              <i n="[Range].[Miles / Year].&amp;[3.45367619047619E3]" c="3453.67619047619"/>
              <i n="[Range].[Miles / Year].&amp;[3.458614814814815E3]" c="3458.61481481481"/>
              <i n="[Range].[Miles / Year].&amp;[3.9538137931034484E3]" c="3953.81379310345"/>
            </range>
          </ranges>
        </level>
      </levels>
      <selections count="1">
        <selection n="[Range].[Miles / Year].[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ID1" xr10:uid="{3387811F-A6F2-48D7-9301-157B87628C38}" sourceName="[Range].[Car ID]">
  <pivotTables>
    <pivotTable tabId="30" name="PivotTable5"/>
  </pivotTables>
  <data>
    <olap pivotCacheId="553910815">
      <levels count="2">
        <level uniqueName="[Range].[Car ID].[(All)]" sourceCaption="(All)" count="0"/>
        <level uniqueName="[Range].[Car ID].[Car ID]" sourceCaption="Car ID" count="52">
          <ranges>
            <range startItem="0">
              <i n="[Range].[Car ID].&amp;[CR00CAR046]" c="CR00CAR046"/>
              <i n="[Range].[Car ID].&amp;[CR04CAR047]" c="CR04CAR047"/>
              <i n="[Range].[Car ID].&amp;[CR04CAR048]" c="CR04CAR048"/>
              <i n="[Range].[Car ID].&amp;[CR04PTC042]" c="CR04PTC042"/>
              <i n="[Range].[Car ID].&amp;[CR07PTC043]" c="CR07PTC043"/>
              <i n="[Range].[Car ID].&amp;[CR11PTC044]" c="CR11PTC044"/>
              <i n="[Range].[Car ID].&amp;[CR99CAR045]" c="CR99CAR045"/>
              <i n="[Range].[Car ID].&amp;[FD06FCS006]" c="FD06FCS006"/>
              <i n="[Range].[Car ID].&amp;[FD06FCS007]" c="FD06FCS007"/>
              <i n="[Range].[Car ID].&amp;[FD06MTG001]" c="FD06MTG001"/>
              <i n="[Range].[Car ID].&amp;[FD06MTG002]" c="FD06MTG002"/>
              <i n="[Range].[Car ID].&amp;[FD08MTG003]" c="FD08MTG003"/>
              <i n="[Range].[Car ID].&amp;[FD08MTG004]" c="FD08MTG004"/>
              <i n="[Range].[Car ID].&amp;[FD08MTG005]" c="FD08MTG005"/>
              <i n="[Range].[Car ID].&amp;[FD09FCS008]" c="FD09FCS008"/>
              <i n="[Range].[Car ID].&amp;[FD12FCS011]" c="FD12FCS011"/>
              <i n="[Range].[Car ID].&amp;[FD13FCS009]" c="FD13FCS009"/>
              <i n="[Range].[Car ID].&amp;[FD13FCS010]" c="FD13FCS010"/>
              <i n="[Range].[Car ID].&amp;[FD13FCS012]" c="FD13FCS012"/>
              <i n="[Range].[Car ID].&amp;[FD13FCS013]" c="FD13FCS013"/>
              <i n="[Range].[Car ID].&amp;[GM00SLV019]" c="GM00SLV019"/>
              <i n="[Range].[Car ID].&amp;[GM09CMR014]" c="GM09CMR014"/>
              <i n="[Range].[Car ID].&amp;[GM10SLV017]" c="GM10SLV017"/>
              <i n="[Range].[Car ID].&amp;[GM12CMR015]" c="GM12CMR015"/>
              <i n="[Range].[Car ID].&amp;[GM14CMR016]" c="GM14CMR016"/>
              <i n="[Range].[Car ID].&amp;[GM98SLV018]" c="GM98SLV018"/>
              <i n="[Range].[Car ID].&amp;[HO01CIV031]" c="HO01CIV031"/>
              <i n="[Range].[Car ID].&amp;[HO01ODY040]" c="HO01ODY040"/>
              <i n="[Range].[Car ID].&amp;[HO05ODY037]" c="HO05ODY037"/>
              <i n="[Range].[Car ID].&amp;[HO07ODY038]" c="HO07ODY038"/>
              <i n="[Range].[Car ID].&amp;[HO08ODY039]" c="HO08ODY039"/>
              <i n="[Range].[Car ID].&amp;[HO10CIV032]" c="HO10CIV032"/>
              <i n="[Range].[Car ID].&amp;[HO10CIV033]" c="HO10CIV033"/>
              <i n="[Range].[Car ID].&amp;[HO11CIV034]" c="HO11CIV034"/>
              <i n="[Range].[Car ID].&amp;[HO12CIV035]" c="HO12CIV035"/>
              <i n="[Range].[Car ID].&amp;[HO13CIV036]" c="HO13CIV036"/>
              <i n="[Range].[Car ID].&amp;[HO14ODY041]" c="HO14ODY041"/>
              <i n="[Range].[Car ID].&amp;[HO99CIV030]" c="HO99CIV030"/>
              <i n="[Range].[Car ID].&amp;[HY11ELA049]" c="HY11ELA049"/>
              <i n="[Range].[Car ID].&amp;[HY12ELA050]" c="HY12ELA050"/>
              <i n="[Range].[Car ID].&amp;[HY13ELA051]" c="HY13ELA051"/>
              <i n="[Range].[Car ID].&amp;[HY13ELA052]" c="HY13ELA052"/>
              <i n="[Range].[Car ID].&amp;[TY00CAM022]" c="TY00CAM022"/>
              <i n="[Range].[Car ID].&amp;[TY02CAM023]" c="TY02CAM023"/>
              <i n="[Range].[Car ID].&amp;[TY02COR025]" c="TY02COR025"/>
              <i n="[Range].[Car ID].&amp;[TY03COR026]" c="TY03COR026"/>
              <i n="[Range].[Car ID].&amp;[TY09CAM024]" c="TY09CAM024"/>
              <i n="[Range].[Car ID].&amp;[TY12CAM029]" c="TY12CAM029"/>
              <i n="[Range].[Car ID].&amp;[TY12COR028]" c="TY12COR028"/>
              <i n="[Range].[Car ID].&amp;[TY14COR027]" c="TY14COR027"/>
              <i n="[Range].[Car ID].&amp;[TY96CAM020]" c="TY96CAM020"/>
              <i n="[Range].[Car ID].&amp;[TY98CAM021]" c="TY98CAM021"/>
            </range>
          </ranges>
        </level>
      </levels>
      <selections count="1">
        <selection n="[Range].[Car ID].[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9034CBE6-7C8F-4DB3-A3ED-DAABC754651D}" sourceName="[Range].[Color]">
  <pivotTables>
    <pivotTable tabId="30" name="PivotTable5"/>
  </pivotTables>
  <data>
    <olap pivotCacheId="553910815">
      <levels count="2">
        <level uniqueName="[Range].[Color].[(All)]" sourceCaption="(All)" count="0"/>
        <level uniqueName="[Range].[Color].[Color]" sourceCaption="Color" count="5">
          <ranges>
            <range startItem="0">
              <i n="[Range].[Color].&amp;[Black]" c="Black"/>
              <i n="[Range].[Color].&amp;[Blue]" c="Blue"/>
              <i n="[Range].[Color].&amp;[Green]" c="Green"/>
              <i n="[Range].[Color].&amp;[Red]" c="Red"/>
              <i n="[Range].[Color].&amp;[White]" c="White"/>
            </range>
          </ranges>
        </level>
      </levels>
      <selections count="1">
        <selection n="[Range].[Colo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584EAB0E-9BF4-4297-911C-213781197A32}" cache="Slicer_Model" caption="Model" level="1" rowHeight="241300"/>
  <slicer name="Miles" xr10:uid="{E71E2464-A21A-4DE5-88B6-73499D1061E5}" cache="Slicer_Miles" caption="Miles" level="1" rowHeight="241300"/>
  <slicer name="Model (Full Name)" xr10:uid="{E640B5BA-8E2A-4555-82B4-2C3B42C33D26}" cache="Slicer_Model__Full_Name" caption="Model (Full Name)" level="1" style="SlicerStyleDark4" rowHeight="241300"/>
  <slicer name="Miles / Year" xr10:uid="{CC667FCD-3458-4159-B48E-4473CE038C6E}" cache="Slicer_Miles___Year" caption="Miles / Year" startItem="12" level="1" style="SlicerStyleDark4" rowHeight="241300"/>
  <slicer name="Car ID" xr10:uid="{3D47C5ED-35F6-4463-BEA8-471F967ECFDE}" cache="Slicer_Car_ID" caption="Car ID" level="1" style="SlicerStyleDark2" rowHeight="241300"/>
  <slicer name="Covered?" xr10:uid="{28AB519E-A0E0-4711-B4EC-F8B66DA1DA27}" cache="Slicer_Covered?" caption="Covered?" level="1" style="SlicerStyleDark2" rowHeight="241300"/>
  <slicer name="Model 1" xr10:uid="{515F1DE7-7A76-404A-A69F-A878A2C9F8D5}" cache="Slicer_Model1" caption="Model" level="1" style="SlicerStyleOther1" rowHeight="241300"/>
  <slicer name="Miles / Year 1" xr10:uid="{1BB12B9E-9E3F-4663-86A0-4BF7D0C82FD3}" cache="Slicer_Miles___Year1" caption="Miles / Year" level="1" style="SlicerStyleOther1" rowHeight="241300"/>
  <slicer name="Car ID 1" xr10:uid="{5E2D9CA9-E0BF-4774-BF2C-1A9C0C1B1E79}" cache="Slicer_Car_ID1" caption="Car ID" level="1" style="SlicerStyleLight3" rowHeight="241300"/>
  <slicer name="Color" xr10:uid="{260611B4-5986-40C4-81AB-44C5E4D5C7A3}" cache="Slicer_Color" caption="Color" level="1"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DFD3E-B896-4A70-97A0-553B1B1400A1}" name="Table1" displayName="Table1" ref="A2:M152" totalsRowShown="0" headerRowDxfId="28" dataDxfId="27" dataCellStyle="Currency">
  <autoFilter ref="A2:M152" xr:uid="{8D9DFD3E-B896-4A70-97A0-553B1B1400A1}"/>
  <tableColumns count="13">
    <tableColumn id="1" xr3:uid="{AA40158F-1638-48BB-975F-4C87057D56F0}" name="S/N" dataDxfId="26"/>
    <tableColumn id="2" xr3:uid="{8BD5FE9D-2E25-4007-93BE-B8CAD0E25061}" name="Month" dataDxfId="25"/>
    <tableColumn id="3" xr3:uid="{F9862294-1945-442E-97AA-1EFF14A1F734}" name="Transaction Number" dataDxfId="24"/>
    <tableColumn id="4" xr3:uid="{8394E9D3-C235-42AE-ACE7-E934EC3655D6}" name="Prouct Description" dataDxfId="23"/>
    <tableColumn id="5" xr3:uid="{D975DBB0-7CBB-4A7D-A66E-08E6CBB05E1C}" name="Store cost" dataDxfId="22" dataCellStyle="Currency">
      <calculatedColumnFormula>IF(SalesRecord!$D3=" "," ",VLOOKUP(SalesRecord!$D3,W_sheet_Sales_record!$C$3:$D$13,2,FALSE))</calculatedColumnFormula>
    </tableColumn>
    <tableColumn id="6" xr3:uid="{BABDBB71-5F18-484A-A937-FCB97ED5A4B5}" name="Sales Price" dataDxfId="21" dataCellStyle="Currency"/>
    <tableColumn id="7" xr3:uid="{42F30BC3-4BD2-4856-8E5E-DC76D7F04C5B}" name="Profit" dataDxfId="20" dataCellStyle="Currency">
      <calculatedColumnFormula>SalesRecord!$F3-SalesRecord!$E3</calculatedColumnFormula>
    </tableColumn>
    <tableColumn id="8" xr3:uid="{27A377F2-A0D3-4AB9-A25E-9FD1A20DEBAC}" name="Quantity" dataDxfId="19"/>
    <tableColumn id="9" xr3:uid="{29D28605-BAD4-47AB-9E1A-1B15E24E7434}" name="Total Sales Price" dataDxfId="18" dataCellStyle="Currency">
      <calculatedColumnFormula>SalesRecord!$F3*SalesRecord!$H3</calculatedColumnFormula>
    </tableColumn>
    <tableColumn id="10" xr3:uid="{A99F1DB8-4DF3-4F18-8360-8815E9BD567D}" name="Total Profit" dataDxfId="17" dataCellStyle="Currency">
      <calculatedColumnFormula>SalesRecord!$G3*SalesRecord!$H3</calculatedColumnFormula>
    </tableColumn>
    <tableColumn id="11" xr3:uid="{F63C09C9-14E8-4E95-A26B-F6A6DFC1965E}" name="Commission " dataDxfId="16" dataCellStyle="Currency">
      <calculatedColumnFormula array="1">_xlfn.IFS(SalesRecord!$G3&gt;120,0.5*SalesRecord!$G3,SalesRecord!$G3&lt;120,0.25*SalesRecord!$G3)</calculatedColumnFormula>
    </tableColumn>
    <tableColumn id="12" xr3:uid="{CC819096-9DDA-44BF-ADFE-6C28B3DD6E0C}" name="Sales Location" dataDxfId="15" dataCellStyle="Currency"/>
    <tableColumn id="13" xr3:uid="{AF12541A-1FC5-4F15-8E92-C25C16643D51}" name="Sales Person" dataDxfId="14" dataCellStyle="Currenc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8B3100-FCD0-4DD4-A92E-0A475FEE6F2F}" name="product" displayName="product" ref="C3:C13" totalsRowShown="0">
  <autoFilter ref="C3:C13" xr:uid="{B28B3100-FCD0-4DD4-A92E-0A475FEE6F2F}"/>
  <tableColumns count="1">
    <tableColumn id="1" xr3:uid="{B55BD59F-8045-4CA4-818B-FE2A516911A7}" name="Product Descriptio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DE4997-C5D4-412C-8131-CD0A488F68CC}" name="Table2" displayName="Table2" ref="A2:L22" totalsRowShown="0" headerRowDxfId="13" dataDxfId="12">
  <autoFilter ref="A2:L22" xr:uid="{C9DE4997-C5D4-412C-8131-CD0A488F68CC}"/>
  <tableColumns count="12">
    <tableColumn id="1" xr3:uid="{B52ADECA-A530-4F81-9CB2-5154A1645A97}" name="S/No" dataDxfId="11"/>
    <tableColumn id="2" xr3:uid="{7667841F-2C22-4DF3-86A0-A47A002F228A}" name="Name" dataDxfId="10"/>
    <tableColumn id="3" xr3:uid="{F6F72568-5DDD-432B-99C5-270B7FDF7776}" name="Age" dataDxfId="9"/>
    <tableColumn id="4" xr3:uid="{946BB7EA-849D-49A0-9F55-534DC980AF09}" name="Pre-interview score" dataDxfId="8"/>
    <tableColumn id="5" xr3:uid="{BE3E57C6-AFEE-4838-83CD-9FC8F6E9C0AF}" name="Grade point" dataDxfId="7"/>
    <tableColumn id="6" xr3:uid="{859E925C-DA78-46E5-9D18-922C7EEB7455}" name="Qualification" dataDxfId="6"/>
    <tableColumn id="7" xr3:uid="{84709B63-0C36-413E-969A-366F14981F02}" name="State" dataDxfId="5"/>
    <tableColumn id="8" xr3:uid="{2882FB0C-3889-470E-89D9-B02C837E4784}" name="Applicant Status" dataDxfId="4">
      <calculatedColumnFormula>IF(AND(Table2[[#This Row],[Age]]&gt;19,Table2[[#This Row],[Grade point]]&gt;=2.9,Table2[[#This Row],[Pre-interview score]]&gt;=45),"Hired","Not Hired")</calculatedColumnFormula>
    </tableColumn>
    <tableColumn id="9" xr3:uid="{A697B111-5090-40FF-A06E-0017AFF227A0}" name="Position" dataDxfId="0">
      <calculatedColumnFormula>IF(AND(Table2[[#This Row],[Qualification]]="BSC",Table2[[#This Row],[Applicant Status]]="Hired"),"Senior Position",IF(AND(Table2[[#This Row],[Qualification]]&lt;&gt;"BSC",Table2[[#This Row],[Applicant Status]]="Hired"), "Junior Position","-"))</calculatedColumnFormula>
    </tableColumn>
    <tableColumn id="10" xr3:uid="{A63F5624-63FB-4987-88F2-F31A52F3277B}" name="Salary" dataDxfId="3">
      <calculatedColumnFormula array="1">_xlfn.IFS(Table2[[#This Row],[Position]]="Junior Position",0.6423*500000,Table2[[#This Row],[Position]]="Senior Position",0.8945*500000,Table2[[#This Row],[Position]]="-"," ")</calculatedColumnFormula>
    </tableColumn>
    <tableColumn id="11" xr3:uid="{A931DD3E-DE18-421F-BF13-0E56E925F3E7}" name="Salary Remaining" dataDxfId="2">
      <calculatedColumnFormula array="1">_xlfn.IFS(Table2[[#This Row],[Position]]="Junior Position",Table2[[#This Row],[Salary]]-(0.334*25000),Table2[[#This Row],[Position]]="Senior Position",Table2[[#This Row],[Salary]]-(0.334*25000),Table2[[#This Row],[Position]]="-", " ")</calculatedColumnFormula>
    </tableColumn>
    <tableColumn id="12" xr3:uid="{F1E17284-5930-49D4-A3B0-5BF8FAD931F6}" name="Compensation Money" dataDxfId="1">
      <calculatedColumnFormula>IF(AND(Table2[[#This Row],[Age]]&lt;= 17,Table2[[#This Row],[Applicant Status]]="Not Hired"),2600,IF(AND(Table2[[#This Row],[Age]]&lt;=20,Table2[[#This Row],[Applicant Status]]="Not Hired"),4600,IF(AND(Table2[[#This Row],[Age]]&gt;=20,Table2[[#This Row],[Applicant Status]]="Not Hired"),6600," ")))</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4"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A2" sqref="A2"/>
    </sheetView>
  </sheetViews>
  <sheetFormatPr defaultRowHeight="15" x14ac:dyDescent="0.25"/>
  <cols>
    <col min="1" max="1" width="13.85546875" style="2" bestFit="1" customWidth="1"/>
    <col min="2" max="2" width="13.28515625" style="2" bestFit="1" customWidth="1"/>
    <col min="3" max="3" width="11.7109375" style="2" bestFit="1" customWidth="1"/>
    <col min="4" max="4" width="14.28515625" style="2" bestFit="1" customWidth="1"/>
    <col min="5" max="7" width="9.140625" style="2"/>
    <col min="8" max="8" width="10.42578125" style="2" bestFit="1" customWidth="1"/>
    <col min="9" max="16384" width="9.140625" style="2"/>
  </cols>
  <sheetData>
    <row r="1" spans="1:8" x14ac:dyDescent="0.25">
      <c r="A1" s="1" t="s">
        <v>24</v>
      </c>
      <c r="B1" s="1" t="s">
        <v>25</v>
      </c>
      <c r="C1" s="1" t="s">
        <v>26</v>
      </c>
      <c r="D1" s="1" t="s">
        <v>27</v>
      </c>
    </row>
    <row r="2" spans="1:8" x14ac:dyDescent="0.25">
      <c r="A2" s="2" t="s">
        <v>0</v>
      </c>
      <c r="B2" s="2">
        <v>1200</v>
      </c>
      <c r="C2" s="2" t="s">
        <v>20</v>
      </c>
      <c r="D2" s="3">
        <v>45292</v>
      </c>
    </row>
    <row r="3" spans="1:8" x14ac:dyDescent="0.25">
      <c r="A3" s="2" t="s">
        <v>1</v>
      </c>
      <c r="B3" s="2">
        <v>800</v>
      </c>
      <c r="C3" s="2" t="s">
        <v>21</v>
      </c>
      <c r="D3" s="3">
        <v>45293</v>
      </c>
    </row>
    <row r="4" spans="1:8" x14ac:dyDescent="0.25">
      <c r="A4" s="2" t="s">
        <v>2</v>
      </c>
      <c r="B4" s="2">
        <v>300</v>
      </c>
      <c r="C4" s="2" t="s">
        <v>22</v>
      </c>
      <c r="D4" s="3">
        <v>45294</v>
      </c>
      <c r="H4" s="4"/>
    </row>
    <row r="5" spans="1:8" x14ac:dyDescent="0.25">
      <c r="A5" s="2" t="s">
        <v>3</v>
      </c>
      <c r="B5" s="2">
        <v>500</v>
      </c>
      <c r="C5" s="2" t="s">
        <v>23</v>
      </c>
      <c r="D5" s="3">
        <v>45295</v>
      </c>
    </row>
    <row r="6" spans="1:8" x14ac:dyDescent="0.25">
      <c r="A6" s="2" t="s">
        <v>4</v>
      </c>
      <c r="B6" s="2">
        <v>700</v>
      </c>
      <c r="C6" s="2" t="s">
        <v>20</v>
      </c>
      <c r="D6" s="3">
        <v>45296</v>
      </c>
    </row>
    <row r="7" spans="1:8" x14ac:dyDescent="0.25">
      <c r="A7" s="2" t="s">
        <v>5</v>
      </c>
      <c r="B7" s="2">
        <v>100</v>
      </c>
      <c r="C7" s="2" t="s">
        <v>21</v>
      </c>
      <c r="D7" s="3">
        <v>45297</v>
      </c>
    </row>
    <row r="8" spans="1:8" x14ac:dyDescent="0.25">
      <c r="A8" s="2" t="s">
        <v>6</v>
      </c>
      <c r="B8" s="2">
        <v>50</v>
      </c>
      <c r="C8" s="2" t="s">
        <v>22</v>
      </c>
      <c r="D8" s="3">
        <v>45298</v>
      </c>
    </row>
    <row r="9" spans="1:8" x14ac:dyDescent="0.25">
      <c r="A9" s="2" t="s">
        <v>7</v>
      </c>
      <c r="B9" s="2">
        <v>150</v>
      </c>
      <c r="C9" s="2" t="s">
        <v>23</v>
      </c>
      <c r="D9" s="3">
        <v>45299</v>
      </c>
    </row>
    <row r="10" spans="1:8" x14ac:dyDescent="0.25">
      <c r="A10" s="2" t="s">
        <v>8</v>
      </c>
      <c r="B10" s="2">
        <v>200</v>
      </c>
      <c r="C10" s="2" t="s">
        <v>20</v>
      </c>
      <c r="D10" s="3">
        <v>45300</v>
      </c>
    </row>
    <row r="11" spans="1:8" x14ac:dyDescent="0.25">
      <c r="A11" s="2" t="s">
        <v>9</v>
      </c>
      <c r="B11" s="2">
        <v>600</v>
      </c>
      <c r="C11" s="2" t="s">
        <v>21</v>
      </c>
      <c r="D11" s="3">
        <v>45301</v>
      </c>
    </row>
    <row r="12" spans="1:8" x14ac:dyDescent="0.25">
      <c r="A12" s="2" t="s">
        <v>10</v>
      </c>
      <c r="B12" s="2">
        <v>400</v>
      </c>
      <c r="C12" s="2" t="s">
        <v>22</v>
      </c>
      <c r="D12" s="3">
        <v>45302</v>
      </c>
    </row>
    <row r="13" spans="1:8" x14ac:dyDescent="0.25">
      <c r="A13" s="2" t="s">
        <v>11</v>
      </c>
      <c r="B13" s="2">
        <v>900</v>
      </c>
      <c r="C13" s="2" t="s">
        <v>23</v>
      </c>
      <c r="D13" s="3">
        <v>45303</v>
      </c>
    </row>
    <row r="14" spans="1:8" x14ac:dyDescent="0.25">
      <c r="A14" s="2" t="s">
        <v>12</v>
      </c>
      <c r="B14" s="2">
        <v>350</v>
      </c>
      <c r="C14" s="2" t="s">
        <v>20</v>
      </c>
      <c r="D14" s="3">
        <v>45304</v>
      </c>
    </row>
    <row r="15" spans="1:8" x14ac:dyDescent="0.25">
      <c r="A15" s="2" t="s">
        <v>13</v>
      </c>
      <c r="B15" s="2">
        <v>75</v>
      </c>
      <c r="C15" s="2" t="s">
        <v>21</v>
      </c>
      <c r="D15" s="3">
        <v>45305</v>
      </c>
    </row>
    <row r="16" spans="1:8" x14ac:dyDescent="0.25">
      <c r="A16" s="2" t="s">
        <v>14</v>
      </c>
      <c r="B16" s="2">
        <v>1100</v>
      </c>
      <c r="C16" s="2" t="s">
        <v>22</v>
      </c>
      <c r="D16" s="3">
        <v>45306</v>
      </c>
    </row>
    <row r="17" spans="1:4" x14ac:dyDescent="0.25">
      <c r="A17" s="2" t="s">
        <v>15</v>
      </c>
      <c r="B17" s="2">
        <v>250</v>
      </c>
      <c r="C17" s="2" t="s">
        <v>23</v>
      </c>
      <c r="D17" s="3">
        <v>45307</v>
      </c>
    </row>
    <row r="18" spans="1:4" x14ac:dyDescent="0.25">
      <c r="A18" s="2" t="s">
        <v>16</v>
      </c>
      <c r="B18" s="2">
        <v>850</v>
      </c>
      <c r="C18" s="2" t="s">
        <v>20</v>
      </c>
      <c r="D18" s="3">
        <v>45308</v>
      </c>
    </row>
    <row r="19" spans="1:4" x14ac:dyDescent="0.25">
      <c r="A19" s="2" t="s">
        <v>17</v>
      </c>
      <c r="B19" s="2">
        <v>1200</v>
      </c>
      <c r="C19" s="2" t="s">
        <v>21</v>
      </c>
      <c r="D19" s="3">
        <v>45309</v>
      </c>
    </row>
    <row r="20" spans="1:4" x14ac:dyDescent="0.25">
      <c r="A20" s="2" t="s">
        <v>18</v>
      </c>
      <c r="B20" s="2">
        <v>300</v>
      </c>
      <c r="C20" s="2" t="s">
        <v>22</v>
      </c>
      <c r="D20" s="3">
        <v>45310</v>
      </c>
    </row>
    <row r="21" spans="1:4" x14ac:dyDescent="0.25">
      <c r="A21" s="2" t="s">
        <v>19</v>
      </c>
      <c r="B21" s="2">
        <v>1500</v>
      </c>
      <c r="C21" s="2" t="s">
        <v>23</v>
      </c>
      <c r="D21" s="3">
        <v>45311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AF4F-63E5-4FAC-9DD5-D7524DDD8714}">
  <dimension ref="A1:E21"/>
  <sheetViews>
    <sheetView workbookViewId="0">
      <selection activeCell="E2" sqref="E2"/>
    </sheetView>
  </sheetViews>
  <sheetFormatPr defaultRowHeight="15" x14ac:dyDescent="0.25"/>
  <cols>
    <col min="1" max="1" width="16.5703125" style="2" bestFit="1" customWidth="1"/>
    <col min="2" max="2" width="12.5703125" style="2" bestFit="1" customWidth="1"/>
    <col min="3" max="3" width="7.85546875" style="2" bestFit="1" customWidth="1"/>
    <col min="4" max="4" width="22" style="2" bestFit="1" customWidth="1"/>
    <col min="5" max="5" width="14.28515625" style="2" bestFit="1" customWidth="1"/>
    <col min="6" max="16384" width="9.140625" style="2"/>
  </cols>
  <sheetData>
    <row r="1" spans="1:5" x14ac:dyDescent="0.25">
      <c r="A1" s="1" t="s">
        <v>28</v>
      </c>
      <c r="B1" s="1" t="s">
        <v>29</v>
      </c>
      <c r="C1" s="1" t="s">
        <v>30</v>
      </c>
      <c r="D1" s="1" t="s">
        <v>31</v>
      </c>
      <c r="E1" s="1" t="s">
        <v>32</v>
      </c>
    </row>
    <row r="2" spans="1:5" x14ac:dyDescent="0.25">
      <c r="A2" s="2" t="s">
        <v>33</v>
      </c>
      <c r="B2" s="2" t="s">
        <v>34</v>
      </c>
      <c r="C2" s="2">
        <v>50000</v>
      </c>
      <c r="D2" s="2">
        <v>85</v>
      </c>
      <c r="E2" s="5">
        <v>43831</v>
      </c>
    </row>
    <row r="3" spans="1:5" x14ac:dyDescent="0.25">
      <c r="A3" s="2" t="s">
        <v>35</v>
      </c>
      <c r="B3" s="2" t="s">
        <v>36</v>
      </c>
      <c r="C3" s="2">
        <v>55000</v>
      </c>
      <c r="D3" s="2">
        <v>90</v>
      </c>
      <c r="E3" s="5">
        <v>43832</v>
      </c>
    </row>
    <row r="4" spans="1:5" x14ac:dyDescent="0.25">
      <c r="A4" s="2" t="s">
        <v>37</v>
      </c>
      <c r="B4" s="2" t="s">
        <v>38</v>
      </c>
      <c r="C4" s="2">
        <v>48000</v>
      </c>
      <c r="D4" s="2">
        <v>78</v>
      </c>
      <c r="E4" s="5">
        <v>43833</v>
      </c>
    </row>
    <row r="5" spans="1:5" x14ac:dyDescent="0.25">
      <c r="A5" s="2" t="s">
        <v>39</v>
      </c>
      <c r="B5" s="2" t="s">
        <v>40</v>
      </c>
      <c r="C5" s="2">
        <v>60000</v>
      </c>
      <c r="D5" s="2">
        <v>92</v>
      </c>
      <c r="E5" s="5">
        <v>43834</v>
      </c>
    </row>
    <row r="6" spans="1:5" x14ac:dyDescent="0.25">
      <c r="A6" s="2" t="s">
        <v>41</v>
      </c>
      <c r="B6" s="2" t="s">
        <v>42</v>
      </c>
      <c r="C6" s="2">
        <v>70000</v>
      </c>
      <c r="D6" s="2">
        <v>88</v>
      </c>
      <c r="E6" s="5">
        <v>43835</v>
      </c>
    </row>
    <row r="7" spans="1:5" x14ac:dyDescent="0.25">
      <c r="A7" s="2" t="s">
        <v>43</v>
      </c>
      <c r="B7" s="2" t="s">
        <v>34</v>
      </c>
      <c r="C7" s="2">
        <v>52000</v>
      </c>
      <c r="D7" s="2">
        <v>84</v>
      </c>
      <c r="E7" s="5">
        <v>43836</v>
      </c>
    </row>
    <row r="8" spans="1:5" x14ac:dyDescent="0.25">
      <c r="A8" s="2" t="s">
        <v>44</v>
      </c>
      <c r="B8" s="2" t="s">
        <v>36</v>
      </c>
      <c r="C8" s="2">
        <v>56000</v>
      </c>
      <c r="D8" s="2">
        <v>91</v>
      </c>
      <c r="E8" s="5">
        <v>43837</v>
      </c>
    </row>
    <row r="9" spans="1:5" x14ac:dyDescent="0.25">
      <c r="A9" s="2" t="s">
        <v>45</v>
      </c>
      <c r="B9" s="2" t="s">
        <v>38</v>
      </c>
      <c r="C9" s="2">
        <v>47000</v>
      </c>
      <c r="D9" s="2">
        <v>76</v>
      </c>
      <c r="E9" s="5">
        <v>43838</v>
      </c>
    </row>
    <row r="10" spans="1:5" x14ac:dyDescent="0.25">
      <c r="A10" s="2" t="s">
        <v>46</v>
      </c>
      <c r="B10" s="2" t="s">
        <v>40</v>
      </c>
      <c r="C10" s="2">
        <v>61000</v>
      </c>
      <c r="D10" s="2">
        <v>94</v>
      </c>
      <c r="E10" s="5">
        <v>43839</v>
      </c>
    </row>
    <row r="11" spans="1:5" x14ac:dyDescent="0.25">
      <c r="A11" s="2" t="s">
        <v>47</v>
      </c>
      <c r="B11" s="2" t="s">
        <v>42</v>
      </c>
      <c r="C11" s="2">
        <v>71000</v>
      </c>
      <c r="D11" s="2">
        <v>89</v>
      </c>
      <c r="E11" s="5">
        <v>43840</v>
      </c>
    </row>
    <row r="12" spans="1:5" x14ac:dyDescent="0.25">
      <c r="A12" s="2" t="s">
        <v>48</v>
      </c>
      <c r="B12" s="2" t="s">
        <v>34</v>
      </c>
      <c r="C12" s="2">
        <v>53000</v>
      </c>
      <c r="D12" s="2">
        <v>83</v>
      </c>
      <c r="E12" s="5">
        <v>43841</v>
      </c>
    </row>
    <row r="13" spans="1:5" x14ac:dyDescent="0.25">
      <c r="A13" s="2" t="s">
        <v>49</v>
      </c>
      <c r="B13" s="2" t="s">
        <v>36</v>
      </c>
      <c r="C13" s="2">
        <v>57000</v>
      </c>
      <c r="D13" s="2">
        <v>87</v>
      </c>
      <c r="E13" s="5">
        <v>43842</v>
      </c>
    </row>
    <row r="14" spans="1:5" x14ac:dyDescent="0.25">
      <c r="A14" s="2" t="s">
        <v>50</v>
      </c>
      <c r="B14" s="2" t="s">
        <v>38</v>
      </c>
      <c r="C14" s="2">
        <v>49000</v>
      </c>
      <c r="D14" s="2">
        <v>79</v>
      </c>
      <c r="E14" s="5">
        <v>43843</v>
      </c>
    </row>
    <row r="15" spans="1:5" x14ac:dyDescent="0.25">
      <c r="A15" s="2" t="s">
        <v>51</v>
      </c>
      <c r="B15" s="2" t="s">
        <v>40</v>
      </c>
      <c r="C15" s="2">
        <v>62000</v>
      </c>
      <c r="D15" s="2">
        <v>95</v>
      </c>
      <c r="E15" s="5">
        <v>43844</v>
      </c>
    </row>
    <row r="16" spans="1:5" x14ac:dyDescent="0.25">
      <c r="A16" s="2" t="s">
        <v>52</v>
      </c>
      <c r="B16" s="2" t="s">
        <v>42</v>
      </c>
      <c r="C16" s="2">
        <v>72000</v>
      </c>
      <c r="D16" s="2">
        <v>86</v>
      </c>
      <c r="E16" s="5">
        <v>43845</v>
      </c>
    </row>
    <row r="17" spans="1:5" x14ac:dyDescent="0.25">
      <c r="A17" s="2" t="s">
        <v>53</v>
      </c>
      <c r="B17" s="2" t="s">
        <v>34</v>
      </c>
      <c r="C17" s="2">
        <v>54000</v>
      </c>
      <c r="D17" s="2">
        <v>82</v>
      </c>
      <c r="E17" s="5">
        <v>43846</v>
      </c>
    </row>
    <row r="18" spans="1:5" x14ac:dyDescent="0.25">
      <c r="A18" s="2" t="s">
        <v>54</v>
      </c>
      <c r="B18" s="2" t="s">
        <v>36</v>
      </c>
      <c r="C18" s="2">
        <v>58000</v>
      </c>
      <c r="D18" s="2">
        <v>88</v>
      </c>
      <c r="E18" s="5">
        <v>43847</v>
      </c>
    </row>
    <row r="19" spans="1:5" x14ac:dyDescent="0.25">
      <c r="A19" s="2" t="s">
        <v>55</v>
      </c>
      <c r="B19" s="2" t="s">
        <v>38</v>
      </c>
      <c r="C19" s="2">
        <v>50000</v>
      </c>
      <c r="D19" s="2">
        <v>80</v>
      </c>
      <c r="E19" s="5">
        <v>43848</v>
      </c>
    </row>
    <row r="20" spans="1:5" x14ac:dyDescent="0.25">
      <c r="A20" s="2" t="s">
        <v>56</v>
      </c>
      <c r="B20" s="2" t="s">
        <v>40</v>
      </c>
      <c r="C20" s="2">
        <v>63000</v>
      </c>
      <c r="D20" s="2">
        <v>96</v>
      </c>
      <c r="E20" s="5">
        <v>43849</v>
      </c>
    </row>
    <row r="21" spans="1:5" x14ac:dyDescent="0.25">
      <c r="A21" s="2" t="s">
        <v>57</v>
      </c>
      <c r="B21" s="2" t="s">
        <v>42</v>
      </c>
      <c r="C21" s="2">
        <v>73000</v>
      </c>
      <c r="D21" s="2">
        <v>93</v>
      </c>
      <c r="E21" s="5">
        <v>43850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0ACA-8E7E-4477-8E96-FA0705939A21}">
  <dimension ref="A1:E21"/>
  <sheetViews>
    <sheetView workbookViewId="0">
      <selection activeCell="D18" sqref="D18"/>
    </sheetView>
  </sheetViews>
  <sheetFormatPr defaultRowHeight="15" x14ac:dyDescent="0.25"/>
  <cols>
    <col min="1" max="1" width="14.7109375" style="2" bestFit="1" customWidth="1"/>
    <col min="2" max="2" width="10.5703125" style="2" bestFit="1" customWidth="1"/>
    <col min="3" max="3" width="7.28515625" style="2" bestFit="1" customWidth="1"/>
    <col min="4" max="4" width="19.42578125" style="2" bestFit="1" customWidth="1"/>
    <col min="5" max="5" width="18" style="2" bestFit="1" customWidth="1"/>
    <col min="6" max="16384" width="9.140625" style="2"/>
  </cols>
  <sheetData>
    <row r="1" spans="1:5" x14ac:dyDescent="0.25">
      <c r="A1" s="1" t="s">
        <v>58</v>
      </c>
      <c r="B1" s="1" t="s">
        <v>59</v>
      </c>
      <c r="C1" s="1" t="s">
        <v>60</v>
      </c>
      <c r="D1" s="1" t="s">
        <v>61</v>
      </c>
      <c r="E1" s="1" t="s">
        <v>62</v>
      </c>
    </row>
    <row r="2" spans="1:5" x14ac:dyDescent="0.25">
      <c r="A2" s="2" t="s">
        <v>63</v>
      </c>
      <c r="B2" s="2" t="s">
        <v>64</v>
      </c>
      <c r="C2" s="2" t="s">
        <v>65</v>
      </c>
      <c r="D2" s="2">
        <v>95</v>
      </c>
      <c r="E2" s="5">
        <v>43466</v>
      </c>
    </row>
    <row r="3" spans="1:5" x14ac:dyDescent="0.25">
      <c r="A3" s="2" t="s">
        <v>66</v>
      </c>
      <c r="B3" s="2" t="s">
        <v>67</v>
      </c>
      <c r="C3" s="2" t="s">
        <v>68</v>
      </c>
      <c r="D3" s="2">
        <v>90</v>
      </c>
      <c r="E3" s="5">
        <v>43467</v>
      </c>
    </row>
    <row r="4" spans="1:5" x14ac:dyDescent="0.25">
      <c r="A4" s="2" t="s">
        <v>69</v>
      </c>
      <c r="B4" s="2" t="s">
        <v>70</v>
      </c>
      <c r="C4" s="2" t="s">
        <v>65</v>
      </c>
      <c r="D4" s="2">
        <v>85</v>
      </c>
      <c r="E4" s="5">
        <v>43468</v>
      </c>
    </row>
    <row r="5" spans="1:5" x14ac:dyDescent="0.25">
      <c r="A5" s="2" t="s">
        <v>71</v>
      </c>
      <c r="B5" s="2" t="s">
        <v>72</v>
      </c>
      <c r="C5" s="2" t="s">
        <v>73</v>
      </c>
      <c r="D5" s="2">
        <v>88</v>
      </c>
      <c r="E5" s="5">
        <v>43469</v>
      </c>
    </row>
    <row r="6" spans="1:5" x14ac:dyDescent="0.25">
      <c r="A6" s="2" t="s">
        <v>74</v>
      </c>
      <c r="B6" s="2" t="s">
        <v>75</v>
      </c>
      <c r="C6" s="2" t="s">
        <v>68</v>
      </c>
      <c r="D6" s="2">
        <v>92</v>
      </c>
      <c r="E6" s="5">
        <v>43470</v>
      </c>
    </row>
    <row r="7" spans="1:5" x14ac:dyDescent="0.25">
      <c r="A7" s="2" t="s">
        <v>76</v>
      </c>
      <c r="B7" s="2" t="s">
        <v>64</v>
      </c>
      <c r="C7" s="2" t="s">
        <v>65</v>
      </c>
      <c r="D7" s="2">
        <v>97</v>
      </c>
      <c r="E7" s="5">
        <v>43471</v>
      </c>
    </row>
    <row r="8" spans="1:5" x14ac:dyDescent="0.25">
      <c r="A8" s="2" t="s">
        <v>77</v>
      </c>
      <c r="B8" s="2" t="s">
        <v>67</v>
      </c>
      <c r="C8" s="2" t="s">
        <v>73</v>
      </c>
      <c r="D8" s="2">
        <v>86</v>
      </c>
      <c r="E8" s="5">
        <v>43472</v>
      </c>
    </row>
    <row r="9" spans="1:5" x14ac:dyDescent="0.25">
      <c r="A9" s="2" t="s">
        <v>78</v>
      </c>
      <c r="B9" s="2" t="s">
        <v>70</v>
      </c>
      <c r="C9" s="2" t="s">
        <v>68</v>
      </c>
      <c r="D9" s="2">
        <v>89</v>
      </c>
      <c r="E9" s="5">
        <v>43473</v>
      </c>
    </row>
    <row r="10" spans="1:5" x14ac:dyDescent="0.25">
      <c r="A10" s="2" t="s">
        <v>79</v>
      </c>
      <c r="B10" s="2" t="s">
        <v>72</v>
      </c>
      <c r="C10" s="2" t="s">
        <v>65</v>
      </c>
      <c r="D10" s="2">
        <v>93</v>
      </c>
      <c r="E10" s="5">
        <v>43474</v>
      </c>
    </row>
    <row r="11" spans="1:5" x14ac:dyDescent="0.25">
      <c r="A11" s="2" t="s">
        <v>80</v>
      </c>
      <c r="B11" s="2" t="s">
        <v>75</v>
      </c>
      <c r="C11" s="2" t="s">
        <v>68</v>
      </c>
      <c r="D11" s="2">
        <v>91</v>
      </c>
      <c r="E11" s="5">
        <v>43475</v>
      </c>
    </row>
    <row r="12" spans="1:5" x14ac:dyDescent="0.25">
      <c r="A12" s="2" t="s">
        <v>81</v>
      </c>
      <c r="B12" s="2" t="s">
        <v>64</v>
      </c>
      <c r="C12" s="2" t="s">
        <v>65</v>
      </c>
      <c r="D12" s="2">
        <v>96</v>
      </c>
      <c r="E12" s="5">
        <v>43476</v>
      </c>
    </row>
    <row r="13" spans="1:5" x14ac:dyDescent="0.25">
      <c r="A13" s="2" t="s">
        <v>82</v>
      </c>
      <c r="B13" s="2" t="s">
        <v>67</v>
      </c>
      <c r="C13" s="2" t="s">
        <v>68</v>
      </c>
      <c r="D13" s="2">
        <v>87</v>
      </c>
      <c r="E13" s="5">
        <v>43477</v>
      </c>
    </row>
    <row r="14" spans="1:5" x14ac:dyDescent="0.25">
      <c r="A14" s="2" t="s">
        <v>83</v>
      </c>
      <c r="B14" s="2" t="s">
        <v>70</v>
      </c>
      <c r="C14" s="2" t="s">
        <v>65</v>
      </c>
      <c r="D14" s="2">
        <v>84</v>
      </c>
      <c r="E14" s="5">
        <v>43478</v>
      </c>
    </row>
    <row r="15" spans="1:5" x14ac:dyDescent="0.25">
      <c r="A15" s="2" t="s">
        <v>84</v>
      </c>
      <c r="B15" s="2" t="s">
        <v>72</v>
      </c>
      <c r="C15" s="2" t="s">
        <v>73</v>
      </c>
      <c r="D15" s="2">
        <v>90</v>
      </c>
      <c r="E15" s="5">
        <v>43479</v>
      </c>
    </row>
    <row r="16" spans="1:5" x14ac:dyDescent="0.25">
      <c r="A16" s="2" t="s">
        <v>85</v>
      </c>
      <c r="B16" s="2" t="s">
        <v>75</v>
      </c>
      <c r="C16" s="2" t="s">
        <v>68</v>
      </c>
      <c r="D16" s="2">
        <v>94</v>
      </c>
      <c r="E16" s="5">
        <v>43480</v>
      </c>
    </row>
    <row r="17" spans="1:5" x14ac:dyDescent="0.25">
      <c r="A17" s="2" t="s">
        <v>86</v>
      </c>
      <c r="B17" s="2" t="s">
        <v>64</v>
      </c>
      <c r="C17" s="2" t="s">
        <v>65</v>
      </c>
      <c r="D17" s="2">
        <v>98</v>
      </c>
      <c r="E17" s="5">
        <v>43481</v>
      </c>
    </row>
    <row r="18" spans="1:5" x14ac:dyDescent="0.25">
      <c r="A18" s="2" t="s">
        <v>87</v>
      </c>
      <c r="B18" s="2" t="s">
        <v>67</v>
      </c>
      <c r="C18" s="2" t="s">
        <v>73</v>
      </c>
      <c r="D18" s="2">
        <v>85</v>
      </c>
      <c r="E18" s="5">
        <v>43482</v>
      </c>
    </row>
    <row r="19" spans="1:5" x14ac:dyDescent="0.25">
      <c r="A19" s="2" t="s">
        <v>88</v>
      </c>
      <c r="B19" s="2" t="s">
        <v>70</v>
      </c>
      <c r="C19" s="2" t="s">
        <v>68</v>
      </c>
      <c r="D19" s="2">
        <v>83</v>
      </c>
      <c r="E19" s="5">
        <v>43483</v>
      </c>
    </row>
    <row r="20" spans="1:5" x14ac:dyDescent="0.25">
      <c r="A20" s="2" t="s">
        <v>89</v>
      </c>
      <c r="B20" s="2" t="s">
        <v>72</v>
      </c>
      <c r="C20" s="2" t="s">
        <v>65</v>
      </c>
      <c r="D20" s="2">
        <v>92</v>
      </c>
      <c r="E20" s="5">
        <v>43484</v>
      </c>
    </row>
    <row r="21" spans="1:5" x14ac:dyDescent="0.25">
      <c r="A21" s="2" t="s">
        <v>90</v>
      </c>
      <c r="B21" s="2" t="s">
        <v>75</v>
      </c>
      <c r="C21" s="2" t="s">
        <v>68</v>
      </c>
      <c r="D21" s="2">
        <v>88</v>
      </c>
      <c r="E21" s="5">
        <v>43485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6A0D4-BCAC-4690-8CB5-A9A7243F2682}">
  <dimension ref="A1:D13"/>
  <sheetViews>
    <sheetView zoomScaleNormal="100" workbookViewId="0">
      <selection activeCell="B9" sqref="B9"/>
    </sheetView>
  </sheetViews>
  <sheetFormatPr defaultColWidth="51.5703125" defaultRowHeight="15" x14ac:dyDescent="0.25"/>
  <cols>
    <col min="1" max="1" width="51.5703125" style="12"/>
    <col min="2" max="2" width="51.5703125" style="13"/>
    <col min="3" max="3" width="21.7109375" style="13" customWidth="1"/>
    <col min="4" max="4" width="18.5703125" style="12" customWidth="1"/>
    <col min="5" max="16384" width="51.5703125" style="12"/>
  </cols>
  <sheetData>
    <row r="1" spans="1:4" ht="174" customHeight="1" x14ac:dyDescent="0.3">
      <c r="B1" s="21"/>
      <c r="C1" s="20"/>
    </row>
    <row r="2" spans="1:4" s="18" customFormat="1" ht="18.75" x14ac:dyDescent="0.3">
      <c r="A2" s="19" t="s">
        <v>160</v>
      </c>
    </row>
    <row r="3" spans="1:4" s="22" customFormat="1" x14ac:dyDescent="0.25">
      <c r="A3" s="22" t="s">
        <v>159</v>
      </c>
      <c r="B3" s="22" t="s">
        <v>158</v>
      </c>
      <c r="C3" s="22" t="s">
        <v>157</v>
      </c>
      <c r="D3" s="22" t="s">
        <v>156</v>
      </c>
    </row>
    <row r="4" spans="1:4" ht="18.75" x14ac:dyDescent="0.3">
      <c r="A4" s="17" t="s">
        <v>155</v>
      </c>
      <c r="B4" s="16">
        <v>9</v>
      </c>
      <c r="C4" s="13">
        <v>14.25</v>
      </c>
      <c r="D4" s="14">
        <f>(B4*C4)</f>
        <v>128.25</v>
      </c>
    </row>
    <row r="5" spans="1:4" ht="18.75" x14ac:dyDescent="0.3">
      <c r="A5" s="17" t="s">
        <v>154</v>
      </c>
      <c r="B5" s="16">
        <v>100</v>
      </c>
      <c r="C5" s="13">
        <v>1.9</v>
      </c>
      <c r="D5" s="14">
        <f>(B5*C5)</f>
        <v>190</v>
      </c>
    </row>
    <row r="6" spans="1:4" ht="18.75" x14ac:dyDescent="0.3">
      <c r="A6" s="17" t="s">
        <v>153</v>
      </c>
      <c r="B6" s="16">
        <v>15</v>
      </c>
      <c r="C6" s="13">
        <v>8.75</v>
      </c>
      <c r="D6" s="14">
        <f>(B6*C6)</f>
        <v>131.25</v>
      </c>
    </row>
    <row r="7" spans="1:4" ht="18.75" x14ac:dyDescent="0.3">
      <c r="A7" s="17" t="s">
        <v>152</v>
      </c>
      <c r="B7" s="16">
        <v>12</v>
      </c>
      <c r="C7" s="13">
        <v>2.99</v>
      </c>
      <c r="D7" s="14">
        <f>(B7*C7)</f>
        <v>35.880000000000003</v>
      </c>
    </row>
    <row r="8" spans="1:4" ht="18.75" x14ac:dyDescent="0.3">
      <c r="A8" s="17" t="s">
        <v>151</v>
      </c>
      <c r="B8" s="16">
        <v>18</v>
      </c>
      <c r="C8" s="13">
        <v>2.59</v>
      </c>
      <c r="D8" s="14">
        <f>(B8*C8)</f>
        <v>46.62</v>
      </c>
    </row>
    <row r="9" spans="1:4" s="22" customFormat="1" x14ac:dyDescent="0.25">
      <c r="D9" s="23">
        <f>SUM(D4:D8)</f>
        <v>532</v>
      </c>
    </row>
    <row r="11" spans="1:4" x14ac:dyDescent="0.25">
      <c r="C11" s="15" t="s">
        <v>150</v>
      </c>
      <c r="D11" s="14">
        <v>1600</v>
      </c>
    </row>
    <row r="12" spans="1:4" x14ac:dyDescent="0.25">
      <c r="C12" s="15" t="s">
        <v>149</v>
      </c>
      <c r="D12" s="14">
        <v>1500</v>
      </c>
    </row>
    <row r="13" spans="1:4" x14ac:dyDescent="0.25">
      <c r="C13" s="22" t="s">
        <v>148</v>
      </c>
      <c r="D13" s="14">
        <v>3100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3B368-5186-42DF-BB77-FC21326988B5}">
  <sheetPr>
    <pageSetUpPr fitToPage="1"/>
  </sheetPr>
  <dimension ref="A1:AD26"/>
  <sheetViews>
    <sheetView topLeftCell="F2" zoomScale="85" zoomScaleNormal="85" workbookViewId="0">
      <selection activeCell="X6" sqref="X6"/>
    </sheetView>
  </sheetViews>
  <sheetFormatPr defaultRowHeight="15" x14ac:dyDescent="0.25"/>
  <cols>
    <col min="1" max="1" width="11.42578125" bestFit="1" customWidth="1"/>
    <col min="2" max="2" width="10.5703125" bestFit="1" customWidth="1"/>
    <col min="3" max="3" width="12" bestFit="1" customWidth="1"/>
    <col min="4" max="4" width="14" bestFit="1" customWidth="1"/>
    <col min="5" max="8" width="10.7109375" bestFit="1" customWidth="1"/>
    <col min="9" max="9" width="11.5703125" bestFit="1" customWidth="1"/>
    <col min="10" max="10" width="11.7109375" bestFit="1" customWidth="1"/>
    <col min="11" max="11" width="11.5703125" bestFit="1" customWidth="1"/>
    <col min="12" max="13" width="11.7109375" bestFit="1" customWidth="1"/>
    <col min="14" max="14" width="24" bestFit="1" customWidth="1"/>
    <col min="19" max="19" width="13.28515625" bestFit="1" customWidth="1"/>
    <col min="20" max="23" width="9.28515625" bestFit="1" customWidth="1"/>
    <col min="24" max="24" width="11.5703125" bestFit="1" customWidth="1"/>
    <col min="25" max="25" width="11.7109375" bestFit="1" customWidth="1"/>
    <col min="26" max="26" width="11.5703125" bestFit="1" customWidth="1"/>
    <col min="27" max="28" width="11.7109375" bestFit="1" customWidth="1"/>
    <col min="30" max="30" width="11.5703125" bestFit="1" customWidth="1"/>
  </cols>
  <sheetData>
    <row r="1" spans="1:30" x14ac:dyDescent="0.25">
      <c r="A1" s="82" t="s">
        <v>91</v>
      </c>
      <c r="B1" s="82"/>
      <c r="C1" t="s">
        <v>92</v>
      </c>
    </row>
    <row r="3" spans="1:30" s="24" customFormat="1" x14ac:dyDescent="0.25">
      <c r="D3" s="24" t="s">
        <v>139</v>
      </c>
      <c r="I3" s="24" t="s">
        <v>161</v>
      </c>
      <c r="N3" s="24" t="s">
        <v>145</v>
      </c>
      <c r="S3" s="24" t="s">
        <v>146</v>
      </c>
      <c r="X3" s="24" t="s">
        <v>147</v>
      </c>
    </row>
    <row r="4" spans="1:30" s="24" customFormat="1" x14ac:dyDescent="0.25">
      <c r="A4" s="24" t="s">
        <v>93</v>
      </c>
      <c r="B4" s="24" t="s">
        <v>94</v>
      </c>
      <c r="C4" s="24" t="s">
        <v>95</v>
      </c>
      <c r="D4" s="24" t="s">
        <v>134</v>
      </c>
      <c r="E4" s="24" t="s">
        <v>135</v>
      </c>
      <c r="F4" s="24" t="s">
        <v>136</v>
      </c>
      <c r="G4" s="24" t="s">
        <v>137</v>
      </c>
      <c r="H4" s="24" t="s">
        <v>138</v>
      </c>
      <c r="I4" s="24" t="s">
        <v>140</v>
      </c>
      <c r="J4" s="24" t="s">
        <v>141</v>
      </c>
      <c r="K4" s="24" t="s">
        <v>142</v>
      </c>
      <c r="L4" s="24" t="s">
        <v>143</v>
      </c>
      <c r="M4" s="24" t="s">
        <v>144</v>
      </c>
      <c r="N4" s="24" t="s">
        <v>134</v>
      </c>
      <c r="O4" s="24" t="s">
        <v>135</v>
      </c>
      <c r="P4" s="24" t="s">
        <v>136</v>
      </c>
      <c r="Q4" s="24" t="s">
        <v>137</v>
      </c>
      <c r="R4" s="24" t="s">
        <v>138</v>
      </c>
      <c r="S4" s="24" t="s">
        <v>140</v>
      </c>
      <c r="T4" s="24" t="s">
        <v>141</v>
      </c>
      <c r="U4" s="24" t="s">
        <v>142</v>
      </c>
      <c r="V4" s="24" t="s">
        <v>143</v>
      </c>
      <c r="W4" s="24" t="s">
        <v>138</v>
      </c>
      <c r="X4" s="24" t="s">
        <v>134</v>
      </c>
      <c r="Y4" s="24" t="s">
        <v>135</v>
      </c>
      <c r="Z4" s="24" t="s">
        <v>136</v>
      </c>
      <c r="AA4" s="24" t="s">
        <v>137</v>
      </c>
      <c r="AB4" s="24" t="s">
        <v>138</v>
      </c>
      <c r="AD4" s="24" t="s">
        <v>162</v>
      </c>
    </row>
    <row r="5" spans="1:30" x14ac:dyDescent="0.25">
      <c r="A5" t="s">
        <v>96</v>
      </c>
      <c r="B5" t="s">
        <v>97</v>
      </c>
      <c r="C5" s="6">
        <v>15.9</v>
      </c>
      <c r="D5">
        <v>47</v>
      </c>
      <c r="E5">
        <v>52</v>
      </c>
      <c r="F5">
        <v>48</v>
      </c>
      <c r="G5">
        <v>42</v>
      </c>
      <c r="H5">
        <v>59</v>
      </c>
      <c r="I5" s="6">
        <f>$C5*D5</f>
        <v>747.30000000000007</v>
      </c>
      <c r="J5" s="6">
        <f>$C5*E5</f>
        <v>826.80000000000007</v>
      </c>
      <c r="K5" s="6">
        <f>$C5*F5</f>
        <v>763.2</v>
      </c>
      <c r="L5" s="6">
        <f>$C5*G5</f>
        <v>667.80000000000007</v>
      </c>
      <c r="M5" s="6">
        <f>$C5*H5</f>
        <v>938.1</v>
      </c>
      <c r="N5" s="8" cm="1">
        <f t="array" ref="N5">_xlfn.IFS(D5&gt;47, D5-47, D5&lt;= 47,0)</f>
        <v>0</v>
      </c>
      <c r="O5" s="8" cm="1">
        <f t="array" ref="O5">_xlfn.IFS(E5&gt;50, E5-50, E5&lt;= 50,0)</f>
        <v>2</v>
      </c>
      <c r="P5" s="8" cm="1">
        <f t="array" ref="P5">_xlfn.IFS(F5&gt;49, F5-49, F5&lt;= 49,0)</f>
        <v>0</v>
      </c>
      <c r="Q5" s="8" cm="1">
        <f t="array" ref="Q5">_xlfn.IFS(G5&gt;49, G5-49, G5&lt;= 49,0)</f>
        <v>0</v>
      </c>
      <c r="R5" s="8" cm="1">
        <f t="array" ref="R5">_xlfn.IFS(H5&gt;51, H5-51, H5&lt;= 51,0)</f>
        <v>8</v>
      </c>
      <c r="S5" s="10">
        <f>( 0.1*N5*C5)</f>
        <v>0</v>
      </c>
      <c r="T5" s="10">
        <f>0.1*O5*$C5</f>
        <v>3.18</v>
      </c>
      <c r="U5" s="10">
        <f>0.1*P5*$C5</f>
        <v>0</v>
      </c>
      <c r="V5" s="10">
        <f>0.1*Q5*$C5</f>
        <v>0</v>
      </c>
      <c r="W5" s="10">
        <f>0.1*R5*$C5</f>
        <v>12.72</v>
      </c>
      <c r="X5" s="6">
        <f>I5+S5</f>
        <v>747.30000000000007</v>
      </c>
      <c r="Y5" s="6">
        <f>J5+T5</f>
        <v>829.98</v>
      </c>
      <c r="Z5" s="6">
        <f>K5+U5</f>
        <v>763.2</v>
      </c>
      <c r="AA5" s="6">
        <f>L5+V5</f>
        <v>667.80000000000007</v>
      </c>
      <c r="AB5" s="6">
        <f>M5+W5</f>
        <v>950.82</v>
      </c>
      <c r="AD5" s="6">
        <f>SUM(X5:AB5)</f>
        <v>3959.1000000000008</v>
      </c>
    </row>
    <row r="6" spans="1:30" x14ac:dyDescent="0.25">
      <c r="A6" t="s">
        <v>98</v>
      </c>
      <c r="B6" t="s">
        <v>99</v>
      </c>
      <c r="C6" s="6">
        <v>10</v>
      </c>
      <c r="D6">
        <v>49</v>
      </c>
      <c r="E6">
        <v>50</v>
      </c>
      <c r="F6">
        <v>43</v>
      </c>
      <c r="G6">
        <v>49</v>
      </c>
      <c r="H6">
        <v>52</v>
      </c>
      <c r="I6" s="6">
        <f t="shared" ref="I6:I21" si="0">$C6*D6</f>
        <v>490</v>
      </c>
      <c r="J6" s="6">
        <f t="shared" ref="J6:J21" si="1">$C6*E6</f>
        <v>500</v>
      </c>
      <c r="K6" s="6">
        <f t="shared" ref="K6:K21" si="2">$C6*F6</f>
        <v>430</v>
      </c>
      <c r="L6" s="6">
        <f t="shared" ref="L6:L21" si="3">$C6*G6</f>
        <v>490</v>
      </c>
      <c r="M6" s="6">
        <f t="shared" ref="M6:M21" si="4">$C6*H6</f>
        <v>520</v>
      </c>
      <c r="N6" s="8" cm="1">
        <f t="array" ref="N6">_xlfn.IFS(D6&gt;47, D6-47, D6&lt;= 47,0)</f>
        <v>2</v>
      </c>
      <c r="O6" s="8" cm="1">
        <f t="array" ref="O6">_xlfn.IFS(E6&gt;50, E6-50, E6&lt;= 50,0)</f>
        <v>0</v>
      </c>
      <c r="P6" s="8" cm="1">
        <f t="array" ref="P6">_xlfn.IFS(F6&gt;49, F6-49, F6&lt;= 49,0)</f>
        <v>0</v>
      </c>
      <c r="Q6" s="8" cm="1">
        <f t="array" ref="Q6">_xlfn.IFS(G6&gt;49, G6-49, G6&lt;= 49,0)</f>
        <v>0</v>
      </c>
      <c r="R6" s="8" cm="1">
        <f t="array" ref="R6">_xlfn.IFS(H6&gt;51, H6-51, H6&lt;= 51,0)</f>
        <v>1</v>
      </c>
      <c r="S6" s="10">
        <f t="shared" ref="S6:S21" si="5">( 0.1*N6*C6)</f>
        <v>2</v>
      </c>
      <c r="T6" s="10">
        <f t="shared" ref="T6:T21" si="6">0.1*O6*C6</f>
        <v>0</v>
      </c>
      <c r="U6" s="10">
        <f t="shared" ref="U6:U21" si="7">0.1*P6*$C6</f>
        <v>0</v>
      </c>
      <c r="V6" s="10">
        <f t="shared" ref="V6:V21" si="8">0.1*Q6*$C6</f>
        <v>0</v>
      </c>
      <c r="W6" s="10">
        <f t="shared" ref="W6:W21" si="9">0.1*R6*$C6</f>
        <v>1</v>
      </c>
      <c r="X6" s="6">
        <f t="shared" ref="X6:X21" si="10">I6+S6</f>
        <v>492</v>
      </c>
      <c r="Y6" s="6">
        <f t="shared" ref="Y6:Y21" si="11">J6+T6</f>
        <v>500</v>
      </c>
      <c r="Z6" s="6">
        <f t="shared" ref="Z6:Z21" si="12">K6+U6</f>
        <v>430</v>
      </c>
      <c r="AA6" s="6">
        <f t="shared" ref="AA6:AA21" si="13">L6+V6</f>
        <v>490</v>
      </c>
      <c r="AB6" s="6">
        <f t="shared" ref="AB6:AB21" si="14">M6+W6</f>
        <v>521</v>
      </c>
      <c r="AD6" s="6">
        <f t="shared" ref="AD6:AD21" si="15">SUM(X6:AB6)</f>
        <v>2433</v>
      </c>
    </row>
    <row r="7" spans="1:30" x14ac:dyDescent="0.25">
      <c r="A7" t="s">
        <v>100</v>
      </c>
      <c r="B7" t="s">
        <v>101</v>
      </c>
      <c r="C7" s="6">
        <v>22.1</v>
      </c>
      <c r="D7">
        <v>45</v>
      </c>
      <c r="E7">
        <v>48</v>
      </c>
      <c r="F7">
        <v>40</v>
      </c>
      <c r="G7">
        <v>55</v>
      </c>
      <c r="H7">
        <v>51</v>
      </c>
      <c r="I7" s="6">
        <f t="shared" si="0"/>
        <v>994.50000000000011</v>
      </c>
      <c r="J7" s="6">
        <f t="shared" si="1"/>
        <v>1060.8000000000002</v>
      </c>
      <c r="K7" s="6">
        <f t="shared" si="2"/>
        <v>884</v>
      </c>
      <c r="L7" s="6">
        <f t="shared" si="3"/>
        <v>1215.5</v>
      </c>
      <c r="M7" s="6">
        <f t="shared" si="4"/>
        <v>1127.1000000000001</v>
      </c>
      <c r="N7" s="8" cm="1">
        <f t="array" ref="N7">_xlfn.IFS(D7&gt;47, D7-47, D7&lt;= 47,0)</f>
        <v>0</v>
      </c>
      <c r="O7" s="8" cm="1">
        <f t="array" ref="O7">_xlfn.IFS(E7&gt;50, E7-50, E7&lt;= 50,0)</f>
        <v>0</v>
      </c>
      <c r="P7" s="8" cm="1">
        <f t="array" ref="P7">_xlfn.IFS(F7&gt;49, F7-49, F7&lt;= 49,0)</f>
        <v>0</v>
      </c>
      <c r="Q7" s="8" cm="1">
        <f t="array" ref="Q7">_xlfn.IFS(G7&gt;49, G7-49, G7&lt;= 49,0)</f>
        <v>6</v>
      </c>
      <c r="R7" s="8" cm="1">
        <f t="array" ref="R7">_xlfn.IFS(H7&gt;51, H7-51, H7&lt;= 51,0)</f>
        <v>0</v>
      </c>
      <c r="S7" s="10">
        <f t="shared" si="5"/>
        <v>0</v>
      </c>
      <c r="T7" s="10">
        <f t="shared" si="6"/>
        <v>0</v>
      </c>
      <c r="U7" s="10">
        <f t="shared" si="7"/>
        <v>0</v>
      </c>
      <c r="V7" s="10">
        <f t="shared" si="8"/>
        <v>13.260000000000003</v>
      </c>
      <c r="W7" s="10">
        <f t="shared" si="9"/>
        <v>0</v>
      </c>
      <c r="X7" s="6">
        <f t="shared" si="10"/>
        <v>994.50000000000011</v>
      </c>
      <c r="Y7" s="6">
        <f t="shared" si="11"/>
        <v>1060.8000000000002</v>
      </c>
      <c r="Z7" s="6">
        <f t="shared" si="12"/>
        <v>884</v>
      </c>
      <c r="AA7" s="6">
        <f t="shared" si="13"/>
        <v>1228.76</v>
      </c>
      <c r="AB7" s="6">
        <f t="shared" si="14"/>
        <v>1127.1000000000001</v>
      </c>
      <c r="AD7" s="6">
        <f t="shared" si="15"/>
        <v>5295.1600000000008</v>
      </c>
    </row>
    <row r="8" spans="1:30" x14ac:dyDescent="0.25">
      <c r="A8" t="s">
        <v>102</v>
      </c>
      <c r="B8" t="s">
        <v>103</v>
      </c>
      <c r="C8" s="6">
        <v>19.100000000000001</v>
      </c>
      <c r="D8">
        <v>43</v>
      </c>
      <c r="E8">
        <v>49</v>
      </c>
      <c r="F8">
        <v>51</v>
      </c>
      <c r="G8">
        <v>41</v>
      </c>
      <c r="H8">
        <v>50</v>
      </c>
      <c r="I8" s="6">
        <f t="shared" si="0"/>
        <v>821.30000000000007</v>
      </c>
      <c r="J8" s="6">
        <f t="shared" si="1"/>
        <v>935.90000000000009</v>
      </c>
      <c r="K8" s="6">
        <f t="shared" si="2"/>
        <v>974.1</v>
      </c>
      <c r="L8" s="6">
        <f t="shared" si="3"/>
        <v>783.1</v>
      </c>
      <c r="M8" s="6">
        <f t="shared" si="4"/>
        <v>955.00000000000011</v>
      </c>
      <c r="N8" s="8" cm="1">
        <f t="array" ref="N8">_xlfn.IFS(D8&gt;47, D8-47, D8&lt;= 47,0)</f>
        <v>0</v>
      </c>
      <c r="O8" s="8" cm="1">
        <f t="array" ref="O8">_xlfn.IFS(E8&gt;50, E8-50, E8&lt;= 50,0)</f>
        <v>0</v>
      </c>
      <c r="P8" s="8" cm="1">
        <f t="array" ref="P8">_xlfn.IFS(F8&gt;49, F8-49, F8&lt;= 49,0)</f>
        <v>2</v>
      </c>
      <c r="Q8" s="8" cm="1">
        <f t="array" ref="Q8">_xlfn.IFS(G8&gt;49, G8-49, G8&lt;= 49,0)</f>
        <v>0</v>
      </c>
      <c r="R8" s="8" cm="1">
        <f t="array" ref="R8">_xlfn.IFS(H8&gt;51, H8-51, H8&lt;= 51,0)</f>
        <v>0</v>
      </c>
      <c r="S8" s="10">
        <f t="shared" si="5"/>
        <v>0</v>
      </c>
      <c r="T8" s="10">
        <f t="shared" si="6"/>
        <v>0</v>
      </c>
      <c r="U8" s="10">
        <f t="shared" si="7"/>
        <v>3.8200000000000003</v>
      </c>
      <c r="V8" s="10">
        <f t="shared" si="8"/>
        <v>0</v>
      </c>
      <c r="W8" s="10">
        <f t="shared" si="9"/>
        <v>0</v>
      </c>
      <c r="X8" s="6">
        <f t="shared" si="10"/>
        <v>821.30000000000007</v>
      </c>
      <c r="Y8" s="6">
        <f t="shared" si="11"/>
        <v>935.90000000000009</v>
      </c>
      <c r="Z8" s="6">
        <f t="shared" si="12"/>
        <v>977.92000000000007</v>
      </c>
      <c r="AA8" s="6">
        <f t="shared" si="13"/>
        <v>783.1</v>
      </c>
      <c r="AB8" s="6">
        <f t="shared" si="14"/>
        <v>955.00000000000011</v>
      </c>
      <c r="AD8" s="6">
        <f t="shared" si="15"/>
        <v>4473.22</v>
      </c>
    </row>
    <row r="9" spans="1:30" x14ac:dyDescent="0.25">
      <c r="A9" t="s">
        <v>104</v>
      </c>
      <c r="B9" t="s">
        <v>105</v>
      </c>
      <c r="C9" s="6">
        <v>6.9</v>
      </c>
      <c r="D9">
        <v>59</v>
      </c>
      <c r="E9">
        <v>45</v>
      </c>
      <c r="F9">
        <v>39</v>
      </c>
      <c r="G9">
        <v>57</v>
      </c>
      <c r="H9">
        <v>41</v>
      </c>
      <c r="I9" s="6">
        <f t="shared" si="0"/>
        <v>407.1</v>
      </c>
      <c r="J9" s="6">
        <f t="shared" si="1"/>
        <v>310.5</v>
      </c>
      <c r="K9" s="6">
        <f t="shared" si="2"/>
        <v>269.10000000000002</v>
      </c>
      <c r="L9" s="6">
        <f t="shared" si="3"/>
        <v>393.3</v>
      </c>
      <c r="M9" s="6">
        <f t="shared" si="4"/>
        <v>282.90000000000003</v>
      </c>
      <c r="N9" s="8" cm="1">
        <f t="array" ref="N9">_xlfn.IFS(D9&gt;47, D9-47, D9&lt;= 47,0)</f>
        <v>12</v>
      </c>
      <c r="O9" s="8" cm="1">
        <f t="array" ref="O9">_xlfn.IFS(E9&gt;50, E9-50, E9&lt;= 50,0)</f>
        <v>0</v>
      </c>
      <c r="P9" s="8" cm="1">
        <f t="array" ref="P9">_xlfn.IFS(F9&gt;49, F9-49, F9&lt;= 49,0)</f>
        <v>0</v>
      </c>
      <c r="Q9" s="8" cm="1">
        <f t="array" ref="Q9">_xlfn.IFS(G9&gt;49, G9-49, G9&lt;= 49,0)</f>
        <v>8</v>
      </c>
      <c r="R9" s="8" cm="1">
        <f t="array" ref="R9">_xlfn.IFS(H9&gt;51, H9-51, H9&lt;= 51,0)</f>
        <v>0</v>
      </c>
      <c r="S9" s="10">
        <f t="shared" si="5"/>
        <v>8.2800000000000011</v>
      </c>
      <c r="T9" s="10">
        <f t="shared" si="6"/>
        <v>0</v>
      </c>
      <c r="U9" s="10">
        <f t="shared" si="7"/>
        <v>0</v>
      </c>
      <c r="V9" s="10">
        <f t="shared" si="8"/>
        <v>5.5200000000000005</v>
      </c>
      <c r="W9" s="10">
        <f t="shared" si="9"/>
        <v>0</v>
      </c>
      <c r="X9" s="6">
        <f t="shared" si="10"/>
        <v>415.38</v>
      </c>
      <c r="Y9" s="6">
        <f t="shared" si="11"/>
        <v>310.5</v>
      </c>
      <c r="Z9" s="6">
        <f t="shared" si="12"/>
        <v>269.10000000000002</v>
      </c>
      <c r="AA9" s="6">
        <f t="shared" si="13"/>
        <v>398.82</v>
      </c>
      <c r="AB9" s="6">
        <f t="shared" si="14"/>
        <v>282.90000000000003</v>
      </c>
      <c r="AD9" s="6">
        <f t="shared" si="15"/>
        <v>1676.7</v>
      </c>
    </row>
    <row r="10" spans="1:30" x14ac:dyDescent="0.25">
      <c r="A10" t="s">
        <v>106</v>
      </c>
      <c r="B10" t="s">
        <v>107</v>
      </c>
      <c r="C10" s="6">
        <v>14.2</v>
      </c>
      <c r="D10">
        <v>46</v>
      </c>
      <c r="E10">
        <v>46</v>
      </c>
      <c r="F10">
        <v>39</v>
      </c>
      <c r="G10">
        <v>42</v>
      </c>
      <c r="H10">
        <v>57</v>
      </c>
      <c r="I10" s="6">
        <f t="shared" si="0"/>
        <v>653.19999999999993</v>
      </c>
      <c r="J10" s="6">
        <f t="shared" si="1"/>
        <v>653.19999999999993</v>
      </c>
      <c r="K10" s="6">
        <f t="shared" si="2"/>
        <v>553.79999999999995</v>
      </c>
      <c r="L10" s="6">
        <f t="shared" si="3"/>
        <v>596.4</v>
      </c>
      <c r="M10" s="6">
        <f t="shared" si="4"/>
        <v>809.4</v>
      </c>
      <c r="N10" s="8" cm="1">
        <f t="array" ref="N10">_xlfn.IFS(D10&gt;47, D10-47, D10&lt;= 47,0)</f>
        <v>0</v>
      </c>
      <c r="O10" s="8" cm="1">
        <f t="array" ref="O10">_xlfn.IFS(E10&gt;50, E10-50, E10&lt;= 50,0)</f>
        <v>0</v>
      </c>
      <c r="P10" s="8" cm="1">
        <f t="array" ref="P10">_xlfn.IFS(F10&gt;49, F10-49, F10&lt;= 49,0)</f>
        <v>0</v>
      </c>
      <c r="Q10" s="8" cm="1">
        <f t="array" ref="Q10">_xlfn.IFS(G10&gt;49, G10-49, G10&lt;= 49,0)</f>
        <v>0</v>
      </c>
      <c r="R10" s="8" cm="1">
        <f t="array" ref="R10">_xlfn.IFS(H10&gt;51, H10-51, H10&lt;= 51,0)</f>
        <v>6</v>
      </c>
      <c r="S10" s="10">
        <f t="shared" si="5"/>
        <v>0</v>
      </c>
      <c r="T10" s="10">
        <f t="shared" si="6"/>
        <v>0</v>
      </c>
      <c r="U10" s="10">
        <f t="shared" si="7"/>
        <v>0</v>
      </c>
      <c r="V10" s="10">
        <f t="shared" si="8"/>
        <v>0</v>
      </c>
      <c r="W10" s="10">
        <f t="shared" si="9"/>
        <v>8.5200000000000014</v>
      </c>
      <c r="X10" s="6">
        <f t="shared" si="10"/>
        <v>653.19999999999993</v>
      </c>
      <c r="Y10" s="6">
        <f t="shared" si="11"/>
        <v>653.19999999999993</v>
      </c>
      <c r="Z10" s="6">
        <f t="shared" si="12"/>
        <v>553.79999999999995</v>
      </c>
      <c r="AA10" s="6">
        <f t="shared" si="13"/>
        <v>596.4</v>
      </c>
      <c r="AB10" s="6">
        <f t="shared" si="14"/>
        <v>817.92</v>
      </c>
      <c r="AD10" s="6">
        <f t="shared" si="15"/>
        <v>3274.52</v>
      </c>
    </row>
    <row r="11" spans="1:30" x14ac:dyDescent="0.25">
      <c r="A11" t="s">
        <v>108</v>
      </c>
      <c r="B11" t="s">
        <v>109</v>
      </c>
      <c r="C11" s="6">
        <v>18</v>
      </c>
      <c r="D11">
        <v>45</v>
      </c>
      <c r="E11">
        <v>52</v>
      </c>
      <c r="F11">
        <v>60</v>
      </c>
      <c r="G11">
        <v>50</v>
      </c>
      <c r="H11">
        <v>55</v>
      </c>
      <c r="I11" s="6">
        <f t="shared" si="0"/>
        <v>810</v>
      </c>
      <c r="J11" s="6">
        <f t="shared" si="1"/>
        <v>936</v>
      </c>
      <c r="K11" s="6">
        <f t="shared" si="2"/>
        <v>1080</v>
      </c>
      <c r="L11" s="6">
        <f t="shared" si="3"/>
        <v>900</v>
      </c>
      <c r="M11" s="6">
        <f t="shared" si="4"/>
        <v>990</v>
      </c>
      <c r="N11" s="8" cm="1">
        <f t="array" ref="N11">_xlfn.IFS(D11&gt;47, D11-47, D11&lt;= 47,0)</f>
        <v>0</v>
      </c>
      <c r="O11" s="8" cm="1">
        <f t="array" ref="O11">_xlfn.IFS(E11&gt;50, E11-50, E11&lt;= 50,0)</f>
        <v>2</v>
      </c>
      <c r="P11" s="8" cm="1">
        <f t="array" ref="P11">_xlfn.IFS(F11&gt;49, F11-49, F11&lt;= 49,0)</f>
        <v>11</v>
      </c>
      <c r="Q11" s="8" cm="1">
        <f t="array" ref="Q11">_xlfn.IFS(G11&gt;49, G11-49, G11&lt;= 49,0)</f>
        <v>1</v>
      </c>
      <c r="R11" s="8" cm="1">
        <f t="array" ref="R11">_xlfn.IFS(H11&gt;51, H11-51, H11&lt;= 51,0)</f>
        <v>4</v>
      </c>
      <c r="S11" s="10">
        <f t="shared" si="5"/>
        <v>0</v>
      </c>
      <c r="T11" s="10">
        <f t="shared" si="6"/>
        <v>3.6</v>
      </c>
      <c r="U11" s="10">
        <f t="shared" si="7"/>
        <v>19.8</v>
      </c>
      <c r="V11" s="10">
        <f t="shared" si="8"/>
        <v>1.8</v>
      </c>
      <c r="W11" s="10">
        <f t="shared" si="9"/>
        <v>7.2</v>
      </c>
      <c r="X11" s="6">
        <f t="shared" si="10"/>
        <v>810</v>
      </c>
      <c r="Y11" s="6">
        <f t="shared" si="11"/>
        <v>939.6</v>
      </c>
      <c r="Z11" s="6">
        <f t="shared" si="12"/>
        <v>1099.8</v>
      </c>
      <c r="AA11" s="6">
        <f t="shared" si="13"/>
        <v>901.8</v>
      </c>
      <c r="AB11" s="6">
        <f t="shared" si="14"/>
        <v>997.2</v>
      </c>
      <c r="AD11" s="6">
        <f t="shared" si="15"/>
        <v>4748.3999999999996</v>
      </c>
    </row>
    <row r="12" spans="1:30" x14ac:dyDescent="0.25">
      <c r="A12" t="s">
        <v>110</v>
      </c>
      <c r="B12" t="s">
        <v>111</v>
      </c>
      <c r="C12" s="6">
        <v>17.5</v>
      </c>
      <c r="D12">
        <v>43</v>
      </c>
      <c r="E12">
        <v>51</v>
      </c>
      <c r="F12">
        <v>46</v>
      </c>
      <c r="G12">
        <v>48</v>
      </c>
      <c r="H12">
        <v>47</v>
      </c>
      <c r="I12" s="6">
        <f t="shared" si="0"/>
        <v>752.5</v>
      </c>
      <c r="J12" s="6">
        <f t="shared" si="1"/>
        <v>892.5</v>
      </c>
      <c r="K12" s="6">
        <f t="shared" si="2"/>
        <v>805</v>
      </c>
      <c r="L12" s="6">
        <f t="shared" si="3"/>
        <v>840</v>
      </c>
      <c r="M12" s="6">
        <f t="shared" si="4"/>
        <v>822.5</v>
      </c>
      <c r="N12" s="8" cm="1">
        <f t="array" ref="N12">_xlfn.IFS(D12&gt;47, D12-47, D12&lt;= 47,0)</f>
        <v>0</v>
      </c>
      <c r="O12" s="8" cm="1">
        <f t="array" ref="O12">_xlfn.IFS(E12&gt;50, E12-50, E12&lt;= 50,0)</f>
        <v>1</v>
      </c>
      <c r="P12" s="8" cm="1">
        <f t="array" ref="P12">_xlfn.IFS(F12&gt;49, F12-49, F12&lt;= 49,0)</f>
        <v>0</v>
      </c>
      <c r="Q12" s="8" cm="1">
        <f t="array" ref="Q12">_xlfn.IFS(G12&gt;49, G12-49, G12&lt;= 49,0)</f>
        <v>0</v>
      </c>
      <c r="R12" s="8" cm="1">
        <f t="array" ref="R12">_xlfn.IFS(H12&gt;51, H12-51, H12&lt;= 51,0)</f>
        <v>0</v>
      </c>
      <c r="S12" s="10">
        <f t="shared" si="5"/>
        <v>0</v>
      </c>
      <c r="T12" s="10">
        <f t="shared" si="6"/>
        <v>1.75</v>
      </c>
      <c r="U12" s="10">
        <f t="shared" si="7"/>
        <v>0</v>
      </c>
      <c r="V12" s="10">
        <f t="shared" si="8"/>
        <v>0</v>
      </c>
      <c r="W12" s="10">
        <f t="shared" si="9"/>
        <v>0</v>
      </c>
      <c r="X12" s="6">
        <f t="shared" si="10"/>
        <v>752.5</v>
      </c>
      <c r="Y12" s="6">
        <f t="shared" si="11"/>
        <v>894.25</v>
      </c>
      <c r="Z12" s="6">
        <f t="shared" si="12"/>
        <v>805</v>
      </c>
      <c r="AA12" s="6">
        <f t="shared" si="13"/>
        <v>840</v>
      </c>
      <c r="AB12" s="6">
        <f t="shared" si="14"/>
        <v>822.5</v>
      </c>
      <c r="AD12" s="6">
        <f t="shared" si="15"/>
        <v>4114.25</v>
      </c>
    </row>
    <row r="13" spans="1:30" x14ac:dyDescent="0.25">
      <c r="A13" t="s">
        <v>112</v>
      </c>
      <c r="B13" t="s">
        <v>113</v>
      </c>
      <c r="C13" s="6">
        <v>14.7</v>
      </c>
      <c r="D13">
        <v>46</v>
      </c>
      <c r="E13">
        <v>57</v>
      </c>
      <c r="F13">
        <v>47</v>
      </c>
      <c r="G13">
        <v>52</v>
      </c>
      <c r="H13">
        <v>55</v>
      </c>
      <c r="I13" s="6">
        <f t="shared" si="0"/>
        <v>676.19999999999993</v>
      </c>
      <c r="J13" s="6">
        <f t="shared" si="1"/>
        <v>837.9</v>
      </c>
      <c r="K13" s="6">
        <f t="shared" si="2"/>
        <v>690.9</v>
      </c>
      <c r="L13" s="6">
        <f t="shared" si="3"/>
        <v>764.4</v>
      </c>
      <c r="M13" s="6">
        <f t="shared" si="4"/>
        <v>808.5</v>
      </c>
      <c r="N13" s="8" cm="1">
        <f t="array" ref="N13">_xlfn.IFS(D13&gt;47, D13-47, D13&lt;= 47,0)</f>
        <v>0</v>
      </c>
      <c r="O13" s="8" cm="1">
        <f t="array" ref="O13">_xlfn.IFS(E13&gt;50, E13-50, E13&lt;= 50,0)</f>
        <v>7</v>
      </c>
      <c r="P13" s="8" cm="1">
        <f t="array" ref="P13">_xlfn.IFS(F13&gt;49, F13-49, F13&lt;= 49,0)</f>
        <v>0</v>
      </c>
      <c r="Q13" s="8" cm="1">
        <f t="array" ref="Q13">_xlfn.IFS(G13&gt;49, G13-49, G13&lt;= 49,0)</f>
        <v>3</v>
      </c>
      <c r="R13" s="8" cm="1">
        <f t="array" ref="R13">_xlfn.IFS(H13&gt;51, H13-51, H13&lt;= 51,0)</f>
        <v>4</v>
      </c>
      <c r="S13" s="10">
        <f t="shared" si="5"/>
        <v>0</v>
      </c>
      <c r="T13" s="10">
        <f t="shared" si="6"/>
        <v>10.290000000000001</v>
      </c>
      <c r="U13" s="10">
        <f t="shared" si="7"/>
        <v>0</v>
      </c>
      <c r="V13" s="10">
        <f t="shared" si="8"/>
        <v>4.41</v>
      </c>
      <c r="W13" s="10">
        <f t="shared" si="9"/>
        <v>5.88</v>
      </c>
      <c r="X13" s="6">
        <f t="shared" si="10"/>
        <v>676.19999999999993</v>
      </c>
      <c r="Y13" s="6">
        <f t="shared" si="11"/>
        <v>848.18999999999994</v>
      </c>
      <c r="Z13" s="6">
        <f t="shared" si="12"/>
        <v>690.9</v>
      </c>
      <c r="AA13" s="6">
        <f t="shared" si="13"/>
        <v>768.81</v>
      </c>
      <c r="AB13" s="6">
        <f t="shared" si="14"/>
        <v>814.38</v>
      </c>
      <c r="AD13" s="6">
        <f t="shared" si="15"/>
        <v>3798.48</v>
      </c>
    </row>
    <row r="14" spans="1:30" x14ac:dyDescent="0.25">
      <c r="A14" t="s">
        <v>114</v>
      </c>
      <c r="B14" t="s">
        <v>115</v>
      </c>
      <c r="C14" s="6">
        <v>13.9</v>
      </c>
      <c r="D14">
        <v>48</v>
      </c>
      <c r="E14">
        <v>60</v>
      </c>
      <c r="F14">
        <v>46</v>
      </c>
      <c r="G14">
        <v>45</v>
      </c>
      <c r="H14">
        <v>42</v>
      </c>
      <c r="I14" s="6">
        <f t="shared" si="0"/>
        <v>667.2</v>
      </c>
      <c r="J14" s="6">
        <f t="shared" si="1"/>
        <v>834</v>
      </c>
      <c r="K14" s="6">
        <f t="shared" si="2"/>
        <v>639.4</v>
      </c>
      <c r="L14" s="6">
        <f t="shared" si="3"/>
        <v>625.5</v>
      </c>
      <c r="M14" s="6">
        <f t="shared" si="4"/>
        <v>583.80000000000007</v>
      </c>
      <c r="N14" s="8" cm="1">
        <f t="array" ref="N14">_xlfn.IFS(D14&gt;47, D14-47, D14&lt;= 47,0)</f>
        <v>1</v>
      </c>
      <c r="O14" s="8" cm="1">
        <f t="array" ref="O14">_xlfn.IFS(E14&gt;50, E14-50, E14&lt;= 50,0)</f>
        <v>10</v>
      </c>
      <c r="P14" s="8" cm="1">
        <f t="array" ref="P14">_xlfn.IFS(F14&gt;49, F14-49, F14&lt;= 49,0)</f>
        <v>0</v>
      </c>
      <c r="Q14" s="8" cm="1">
        <f t="array" ref="Q14">_xlfn.IFS(G14&gt;49, G14-49, G14&lt;= 49,0)</f>
        <v>0</v>
      </c>
      <c r="R14" s="8" cm="1">
        <f t="array" ref="R14">_xlfn.IFS(H14&gt;51, H14-51, H14&lt;= 51,0)</f>
        <v>0</v>
      </c>
      <c r="S14" s="10">
        <f t="shared" si="5"/>
        <v>1.3900000000000001</v>
      </c>
      <c r="T14" s="10">
        <f t="shared" si="6"/>
        <v>13.9</v>
      </c>
      <c r="U14" s="10">
        <f t="shared" si="7"/>
        <v>0</v>
      </c>
      <c r="V14" s="10">
        <f t="shared" si="8"/>
        <v>0</v>
      </c>
      <c r="W14" s="10">
        <f t="shared" si="9"/>
        <v>0</v>
      </c>
      <c r="X14" s="6">
        <f t="shared" si="10"/>
        <v>668.59</v>
      </c>
      <c r="Y14" s="6">
        <f t="shared" si="11"/>
        <v>847.9</v>
      </c>
      <c r="Z14" s="6">
        <f t="shared" si="12"/>
        <v>639.4</v>
      </c>
      <c r="AA14" s="6">
        <f t="shared" si="13"/>
        <v>625.5</v>
      </c>
      <c r="AB14" s="6">
        <f t="shared" si="14"/>
        <v>583.80000000000007</v>
      </c>
      <c r="AD14" s="6">
        <f t="shared" si="15"/>
        <v>3365.19</v>
      </c>
    </row>
    <row r="15" spans="1:30" x14ac:dyDescent="0.25">
      <c r="A15" t="s">
        <v>116</v>
      </c>
      <c r="B15" t="s">
        <v>117</v>
      </c>
      <c r="C15" s="6">
        <v>11.2</v>
      </c>
      <c r="D15">
        <v>43</v>
      </c>
      <c r="E15">
        <v>39</v>
      </c>
      <c r="F15">
        <v>56</v>
      </c>
      <c r="G15">
        <v>59</v>
      </c>
      <c r="H15">
        <v>59</v>
      </c>
      <c r="I15" s="6">
        <f t="shared" si="0"/>
        <v>481.59999999999997</v>
      </c>
      <c r="J15" s="6">
        <f t="shared" si="1"/>
        <v>436.79999999999995</v>
      </c>
      <c r="K15" s="6">
        <f t="shared" si="2"/>
        <v>627.19999999999993</v>
      </c>
      <c r="L15" s="6">
        <f t="shared" si="3"/>
        <v>660.8</v>
      </c>
      <c r="M15" s="6">
        <f t="shared" si="4"/>
        <v>660.8</v>
      </c>
      <c r="N15" s="8" cm="1">
        <f t="array" ref="N15">_xlfn.IFS(D15&gt;47, D15-47, D15&lt;= 47,0)</f>
        <v>0</v>
      </c>
      <c r="O15" s="8" cm="1">
        <f t="array" ref="O15">_xlfn.IFS(E15&gt;50, E15-50, E15&lt;= 50,0)</f>
        <v>0</v>
      </c>
      <c r="P15" s="8" cm="1">
        <f t="array" ref="P15">_xlfn.IFS(F15&gt;49, F15-49, F15&lt;= 49,0)</f>
        <v>7</v>
      </c>
      <c r="Q15" s="8" cm="1">
        <f t="array" ref="Q15">_xlfn.IFS(G15&gt;49, G15-49, G15&lt;= 49,0)</f>
        <v>10</v>
      </c>
      <c r="R15" s="8" cm="1">
        <f t="array" ref="R15">_xlfn.IFS(H15&gt;51, H15-51, H15&lt;= 51,0)</f>
        <v>8</v>
      </c>
      <c r="S15" s="10">
        <f t="shared" si="5"/>
        <v>0</v>
      </c>
      <c r="T15" s="10">
        <f t="shared" si="6"/>
        <v>0</v>
      </c>
      <c r="U15" s="10">
        <f t="shared" si="7"/>
        <v>7.84</v>
      </c>
      <c r="V15" s="10">
        <f t="shared" si="8"/>
        <v>11.2</v>
      </c>
      <c r="W15" s="10">
        <f t="shared" si="9"/>
        <v>8.9599999999999991</v>
      </c>
      <c r="X15" s="6">
        <f t="shared" si="10"/>
        <v>481.59999999999997</v>
      </c>
      <c r="Y15" s="6">
        <f t="shared" si="11"/>
        <v>436.79999999999995</v>
      </c>
      <c r="Z15" s="6">
        <f t="shared" si="12"/>
        <v>635.04</v>
      </c>
      <c r="AA15" s="6">
        <f t="shared" si="13"/>
        <v>672</v>
      </c>
      <c r="AB15" s="6">
        <f t="shared" si="14"/>
        <v>669.76</v>
      </c>
      <c r="AD15" s="6">
        <f t="shared" si="15"/>
        <v>2895.2</v>
      </c>
    </row>
    <row r="16" spans="1:30" x14ac:dyDescent="0.25">
      <c r="A16" t="s">
        <v>118</v>
      </c>
      <c r="B16" t="s">
        <v>119</v>
      </c>
      <c r="C16" s="6">
        <v>10.1</v>
      </c>
      <c r="D16">
        <v>48</v>
      </c>
      <c r="E16">
        <v>41</v>
      </c>
      <c r="F16">
        <v>55</v>
      </c>
      <c r="G16">
        <v>47</v>
      </c>
      <c r="H16">
        <v>53</v>
      </c>
      <c r="I16" s="6">
        <f t="shared" si="0"/>
        <v>484.79999999999995</v>
      </c>
      <c r="J16" s="6">
        <f t="shared" si="1"/>
        <v>414.09999999999997</v>
      </c>
      <c r="K16" s="6">
        <f t="shared" si="2"/>
        <v>555.5</v>
      </c>
      <c r="L16" s="6">
        <f t="shared" si="3"/>
        <v>474.7</v>
      </c>
      <c r="M16" s="6">
        <f t="shared" si="4"/>
        <v>535.29999999999995</v>
      </c>
      <c r="N16" s="8" cm="1">
        <f t="array" ref="N16">_xlfn.IFS(D16&gt;47, D16-47, D16&lt;= 47,0)</f>
        <v>1</v>
      </c>
      <c r="O16" s="8" cm="1">
        <f t="array" ref="O16">_xlfn.IFS(E16&gt;50, E16-50, E16&lt;= 50,0)</f>
        <v>0</v>
      </c>
      <c r="P16" s="8" cm="1">
        <f t="array" ref="P16">_xlfn.IFS(F16&gt;49, F16-49, F16&lt;= 49,0)</f>
        <v>6</v>
      </c>
      <c r="Q16" s="8" cm="1">
        <f t="array" ref="Q16">_xlfn.IFS(G16&gt;49, G16-49, G16&lt;= 49,0)</f>
        <v>0</v>
      </c>
      <c r="R16" s="8" cm="1">
        <f t="array" ref="R16">_xlfn.IFS(H16&gt;51, H16-51, H16&lt;= 51,0)</f>
        <v>2</v>
      </c>
      <c r="S16" s="10">
        <f t="shared" si="5"/>
        <v>1.01</v>
      </c>
      <c r="T16" s="10">
        <f t="shared" si="6"/>
        <v>0</v>
      </c>
      <c r="U16" s="10">
        <f t="shared" si="7"/>
        <v>6.0600000000000005</v>
      </c>
      <c r="V16" s="10">
        <f t="shared" si="8"/>
        <v>0</v>
      </c>
      <c r="W16" s="10">
        <f t="shared" si="9"/>
        <v>2.02</v>
      </c>
      <c r="X16" s="6">
        <f t="shared" si="10"/>
        <v>485.80999999999995</v>
      </c>
      <c r="Y16" s="6">
        <f t="shared" si="11"/>
        <v>414.09999999999997</v>
      </c>
      <c r="Z16" s="6">
        <f t="shared" si="12"/>
        <v>561.55999999999995</v>
      </c>
      <c r="AA16" s="6">
        <f t="shared" si="13"/>
        <v>474.7</v>
      </c>
      <c r="AB16" s="6">
        <f t="shared" si="14"/>
        <v>537.31999999999994</v>
      </c>
      <c r="AD16" s="6">
        <f t="shared" si="15"/>
        <v>2473.4899999999998</v>
      </c>
    </row>
    <row r="17" spans="1:30" x14ac:dyDescent="0.25">
      <c r="A17" t="s">
        <v>120</v>
      </c>
      <c r="B17" t="s">
        <v>121</v>
      </c>
      <c r="C17" s="6">
        <v>9</v>
      </c>
      <c r="D17">
        <v>60</v>
      </c>
      <c r="E17">
        <v>53</v>
      </c>
      <c r="F17">
        <v>41</v>
      </c>
      <c r="G17">
        <v>39</v>
      </c>
      <c r="H17">
        <v>42</v>
      </c>
      <c r="I17" s="6">
        <f t="shared" si="0"/>
        <v>540</v>
      </c>
      <c r="J17" s="6">
        <f t="shared" si="1"/>
        <v>477</v>
      </c>
      <c r="K17" s="6">
        <f t="shared" si="2"/>
        <v>369</v>
      </c>
      <c r="L17" s="6">
        <f t="shared" si="3"/>
        <v>351</v>
      </c>
      <c r="M17" s="6">
        <f t="shared" si="4"/>
        <v>378</v>
      </c>
      <c r="N17" s="8" cm="1">
        <f t="array" ref="N17">_xlfn.IFS(D17&gt;47, D17-47, D17&lt;= 47,0)</f>
        <v>13</v>
      </c>
      <c r="O17" s="8" cm="1">
        <f t="array" ref="O17">_xlfn.IFS(E17&gt;50, E17-50, E17&lt;= 50,0)</f>
        <v>3</v>
      </c>
      <c r="P17" s="8" cm="1">
        <f t="array" ref="P17">_xlfn.IFS(F17&gt;49, F17-49, F17&lt;= 49,0)</f>
        <v>0</v>
      </c>
      <c r="Q17" s="8" cm="1">
        <f t="array" ref="Q17">_xlfn.IFS(G17&gt;49, G17-49, G17&lt;= 49,0)</f>
        <v>0</v>
      </c>
      <c r="R17" s="8" cm="1">
        <f t="array" ref="R17">_xlfn.IFS(H17&gt;51, H17-51, H17&lt;= 51,0)</f>
        <v>0</v>
      </c>
      <c r="S17" s="10">
        <f t="shared" si="5"/>
        <v>11.700000000000001</v>
      </c>
      <c r="T17" s="10">
        <f t="shared" si="6"/>
        <v>2.7</v>
      </c>
      <c r="U17" s="10">
        <f t="shared" si="7"/>
        <v>0</v>
      </c>
      <c r="V17" s="10">
        <f t="shared" si="8"/>
        <v>0</v>
      </c>
      <c r="W17" s="10">
        <f t="shared" si="9"/>
        <v>0</v>
      </c>
      <c r="X17" s="6">
        <f t="shared" si="10"/>
        <v>551.70000000000005</v>
      </c>
      <c r="Y17" s="6">
        <f t="shared" si="11"/>
        <v>479.7</v>
      </c>
      <c r="Z17" s="6">
        <f t="shared" si="12"/>
        <v>369</v>
      </c>
      <c r="AA17" s="6">
        <f t="shared" si="13"/>
        <v>351</v>
      </c>
      <c r="AB17" s="6">
        <f t="shared" si="14"/>
        <v>378</v>
      </c>
      <c r="AD17" s="6">
        <f t="shared" si="15"/>
        <v>2129.4</v>
      </c>
    </row>
    <row r="18" spans="1:30" x14ac:dyDescent="0.25">
      <c r="A18" t="s">
        <v>122</v>
      </c>
      <c r="B18" t="s">
        <v>123</v>
      </c>
      <c r="C18" s="6">
        <v>8.44</v>
      </c>
      <c r="D18">
        <v>55</v>
      </c>
      <c r="E18">
        <v>54</v>
      </c>
      <c r="F18">
        <v>58</v>
      </c>
      <c r="G18">
        <v>57</v>
      </c>
      <c r="H18">
        <v>49</v>
      </c>
      <c r="I18" s="6">
        <f t="shared" si="0"/>
        <v>464.2</v>
      </c>
      <c r="J18" s="6">
        <f t="shared" si="1"/>
        <v>455.76</v>
      </c>
      <c r="K18" s="6">
        <f t="shared" si="2"/>
        <v>489.52</v>
      </c>
      <c r="L18" s="6">
        <f t="shared" si="3"/>
        <v>481.08</v>
      </c>
      <c r="M18" s="6">
        <f t="shared" si="4"/>
        <v>413.56</v>
      </c>
      <c r="N18" s="8" cm="1">
        <f t="array" ref="N18">_xlfn.IFS(D18&gt;47, D18-47, D18&lt;= 47,0)</f>
        <v>8</v>
      </c>
      <c r="O18" s="8" cm="1">
        <f t="array" ref="O18">_xlfn.IFS(E18&gt;50, E18-50, E18&lt;= 50,0)</f>
        <v>4</v>
      </c>
      <c r="P18" s="8" cm="1">
        <f t="array" ref="P18">_xlfn.IFS(F18&gt;49, F18-49, F18&lt;= 49,0)</f>
        <v>9</v>
      </c>
      <c r="Q18" s="8" cm="1">
        <f t="array" ref="Q18">_xlfn.IFS(G18&gt;49, G18-49, G18&lt;= 49,0)</f>
        <v>8</v>
      </c>
      <c r="R18" s="8" cm="1">
        <f t="array" ref="R18">_xlfn.IFS(H18&gt;51, H18-51, H18&lt;= 51,0)</f>
        <v>0</v>
      </c>
      <c r="S18" s="10">
        <f t="shared" si="5"/>
        <v>6.7519999999999998</v>
      </c>
      <c r="T18" s="10">
        <f t="shared" si="6"/>
        <v>3.3759999999999999</v>
      </c>
      <c r="U18" s="10">
        <f t="shared" si="7"/>
        <v>7.5960000000000001</v>
      </c>
      <c r="V18" s="10">
        <f t="shared" si="8"/>
        <v>6.7519999999999998</v>
      </c>
      <c r="W18" s="10">
        <f t="shared" si="9"/>
        <v>0</v>
      </c>
      <c r="X18" s="6">
        <f t="shared" si="10"/>
        <v>470.952</v>
      </c>
      <c r="Y18" s="6">
        <f t="shared" si="11"/>
        <v>459.13599999999997</v>
      </c>
      <c r="Z18" s="6">
        <f t="shared" si="12"/>
        <v>497.11599999999999</v>
      </c>
      <c r="AA18" s="6">
        <f t="shared" si="13"/>
        <v>487.83199999999999</v>
      </c>
      <c r="AB18" s="6">
        <f t="shared" si="14"/>
        <v>413.56</v>
      </c>
      <c r="AD18" s="6">
        <f t="shared" si="15"/>
        <v>2328.596</v>
      </c>
    </row>
    <row r="19" spans="1:30" x14ac:dyDescent="0.25">
      <c r="A19" t="s">
        <v>124</v>
      </c>
      <c r="B19" t="s">
        <v>125</v>
      </c>
      <c r="C19" s="6">
        <v>14.2</v>
      </c>
      <c r="D19">
        <v>46</v>
      </c>
      <c r="E19">
        <v>57</v>
      </c>
      <c r="F19">
        <v>60</v>
      </c>
      <c r="G19">
        <v>57</v>
      </c>
      <c r="H19">
        <v>55</v>
      </c>
      <c r="I19" s="6">
        <f t="shared" si="0"/>
        <v>653.19999999999993</v>
      </c>
      <c r="J19" s="6">
        <f t="shared" si="1"/>
        <v>809.4</v>
      </c>
      <c r="K19" s="6">
        <f t="shared" si="2"/>
        <v>852</v>
      </c>
      <c r="L19" s="6">
        <f t="shared" si="3"/>
        <v>809.4</v>
      </c>
      <c r="M19" s="6">
        <f t="shared" si="4"/>
        <v>781</v>
      </c>
      <c r="N19" s="8" cm="1">
        <f t="array" ref="N19">_xlfn.IFS(D19&gt;47, D19-47, D19&lt;= 47,0)</f>
        <v>0</v>
      </c>
      <c r="O19" s="8" cm="1">
        <f t="array" ref="O19">_xlfn.IFS(E19&gt;50, E19-50, E19&lt;= 50,0)</f>
        <v>7</v>
      </c>
      <c r="P19" s="8" cm="1">
        <f t="array" ref="P19">_xlfn.IFS(F19&gt;49, F19-49, F19&lt;= 49,0)</f>
        <v>11</v>
      </c>
      <c r="Q19" s="8" cm="1">
        <f t="array" ref="Q19">_xlfn.IFS(G19&gt;49, G19-49, G19&lt;= 49,0)</f>
        <v>8</v>
      </c>
      <c r="R19" s="8" cm="1">
        <f t="array" ref="R19">_xlfn.IFS(H19&gt;51, H19-51, H19&lt;= 51,0)</f>
        <v>4</v>
      </c>
      <c r="S19" s="10">
        <f t="shared" si="5"/>
        <v>0</v>
      </c>
      <c r="T19" s="10">
        <f t="shared" si="6"/>
        <v>9.9400000000000013</v>
      </c>
      <c r="U19" s="10">
        <f t="shared" si="7"/>
        <v>15.620000000000001</v>
      </c>
      <c r="V19" s="10">
        <f t="shared" si="8"/>
        <v>11.36</v>
      </c>
      <c r="W19" s="10">
        <f t="shared" si="9"/>
        <v>5.68</v>
      </c>
      <c r="X19" s="6">
        <f t="shared" si="10"/>
        <v>653.19999999999993</v>
      </c>
      <c r="Y19" s="6">
        <f t="shared" si="11"/>
        <v>819.34</v>
      </c>
      <c r="Z19" s="6">
        <f t="shared" si="12"/>
        <v>867.62</v>
      </c>
      <c r="AA19" s="6">
        <f t="shared" si="13"/>
        <v>820.76</v>
      </c>
      <c r="AB19" s="6">
        <f t="shared" si="14"/>
        <v>786.68</v>
      </c>
      <c r="AD19" s="6">
        <f t="shared" si="15"/>
        <v>3947.6</v>
      </c>
    </row>
    <row r="20" spans="1:30" x14ac:dyDescent="0.25">
      <c r="A20" t="s">
        <v>126</v>
      </c>
      <c r="B20" t="s">
        <v>127</v>
      </c>
      <c r="C20" s="6">
        <v>45</v>
      </c>
      <c r="D20">
        <v>39</v>
      </c>
      <c r="E20">
        <v>41</v>
      </c>
      <c r="F20">
        <v>53</v>
      </c>
      <c r="G20">
        <v>53</v>
      </c>
      <c r="H20">
        <v>42</v>
      </c>
      <c r="I20" s="6">
        <f t="shared" si="0"/>
        <v>1755</v>
      </c>
      <c r="J20" s="6">
        <f t="shared" si="1"/>
        <v>1845</v>
      </c>
      <c r="K20" s="6">
        <f t="shared" si="2"/>
        <v>2385</v>
      </c>
      <c r="L20" s="6">
        <f t="shared" si="3"/>
        <v>2385</v>
      </c>
      <c r="M20" s="6">
        <f t="shared" si="4"/>
        <v>1890</v>
      </c>
      <c r="N20" s="8" cm="1">
        <f t="array" ref="N20">_xlfn.IFS(D20&gt;47, D20-47, D20&lt;= 47,0)</f>
        <v>0</v>
      </c>
      <c r="O20" s="8" cm="1">
        <f t="array" ref="O20">_xlfn.IFS(E20&gt;50, E20-50, E20&lt;= 50,0)</f>
        <v>0</v>
      </c>
      <c r="P20" s="8" cm="1">
        <f t="array" ref="P20">_xlfn.IFS(F20&gt;49, F20-49, F20&lt;= 49,0)</f>
        <v>4</v>
      </c>
      <c r="Q20" s="8" cm="1">
        <f t="array" ref="Q20">_xlfn.IFS(G20&gt;49, G20-49, G20&lt;= 49,0)</f>
        <v>4</v>
      </c>
      <c r="R20" s="8" cm="1">
        <f t="array" ref="R20">_xlfn.IFS(H20&gt;51, H20-51, H20&lt;= 51,0)</f>
        <v>0</v>
      </c>
      <c r="S20" s="10">
        <f t="shared" si="5"/>
        <v>0</v>
      </c>
      <c r="T20" s="10">
        <f t="shared" si="6"/>
        <v>0</v>
      </c>
      <c r="U20" s="10">
        <f t="shared" si="7"/>
        <v>18</v>
      </c>
      <c r="V20" s="10">
        <f t="shared" si="8"/>
        <v>18</v>
      </c>
      <c r="W20" s="10">
        <f t="shared" si="9"/>
        <v>0</v>
      </c>
      <c r="X20" s="6">
        <f t="shared" si="10"/>
        <v>1755</v>
      </c>
      <c r="Y20" s="6">
        <f t="shared" si="11"/>
        <v>1845</v>
      </c>
      <c r="Z20" s="6">
        <f t="shared" si="12"/>
        <v>2403</v>
      </c>
      <c r="AA20" s="6">
        <f t="shared" si="13"/>
        <v>2403</v>
      </c>
      <c r="AB20" s="6">
        <f t="shared" si="14"/>
        <v>1890</v>
      </c>
      <c r="AD20" s="6">
        <f t="shared" si="15"/>
        <v>10296</v>
      </c>
    </row>
    <row r="21" spans="1:30" x14ac:dyDescent="0.25">
      <c r="A21" t="s">
        <v>128</v>
      </c>
      <c r="B21" t="s">
        <v>129</v>
      </c>
      <c r="C21" s="6">
        <v>30</v>
      </c>
      <c r="D21">
        <v>44</v>
      </c>
      <c r="E21">
        <v>53</v>
      </c>
      <c r="F21">
        <v>58</v>
      </c>
      <c r="G21">
        <v>42</v>
      </c>
      <c r="H21">
        <v>57</v>
      </c>
      <c r="I21" s="6">
        <f t="shared" si="0"/>
        <v>1320</v>
      </c>
      <c r="J21" s="6">
        <f t="shared" si="1"/>
        <v>1590</v>
      </c>
      <c r="K21" s="6">
        <f t="shared" si="2"/>
        <v>1740</v>
      </c>
      <c r="L21" s="6">
        <f t="shared" si="3"/>
        <v>1260</v>
      </c>
      <c r="M21" s="6">
        <f t="shared" si="4"/>
        <v>1710</v>
      </c>
      <c r="N21" s="8" cm="1">
        <f t="array" ref="N21">_xlfn.IFS(D21&gt;47, D21-47, D21&lt;= 47,0)</f>
        <v>0</v>
      </c>
      <c r="O21" s="8" cm="1">
        <f t="array" ref="O21">_xlfn.IFS(E21&gt;50, E21-50, E21&lt;= 50,0)</f>
        <v>3</v>
      </c>
      <c r="P21" s="8" cm="1">
        <f t="array" ref="P21">_xlfn.IFS(F21&gt;49, F21-49, F21&lt;= 49,0)</f>
        <v>9</v>
      </c>
      <c r="Q21" s="8" cm="1">
        <f t="array" ref="Q21">_xlfn.IFS(G21&gt;49, G21-49, G21&lt;= 49,0)</f>
        <v>0</v>
      </c>
      <c r="R21" s="8" cm="1">
        <f t="array" ref="R21">_xlfn.IFS(H21&gt;51, H21-51, H21&lt;= 51,0)</f>
        <v>6</v>
      </c>
      <c r="S21" s="10">
        <f t="shared" si="5"/>
        <v>0</v>
      </c>
      <c r="T21" s="10">
        <f t="shared" si="6"/>
        <v>9.0000000000000018</v>
      </c>
      <c r="U21" s="10">
        <f t="shared" si="7"/>
        <v>27</v>
      </c>
      <c r="V21" s="10">
        <f t="shared" si="8"/>
        <v>0</v>
      </c>
      <c r="W21" s="10">
        <f t="shared" si="9"/>
        <v>18.000000000000004</v>
      </c>
      <c r="X21" s="6">
        <f t="shared" si="10"/>
        <v>1320</v>
      </c>
      <c r="Y21" s="6">
        <f t="shared" si="11"/>
        <v>1599</v>
      </c>
      <c r="Z21" s="6">
        <f t="shared" si="12"/>
        <v>1767</v>
      </c>
      <c r="AA21" s="6">
        <f t="shared" si="13"/>
        <v>1260</v>
      </c>
      <c r="AB21" s="6">
        <f t="shared" si="14"/>
        <v>1728</v>
      </c>
      <c r="AD21" s="6">
        <f t="shared" si="15"/>
        <v>7674</v>
      </c>
    </row>
    <row r="22" spans="1:30" x14ac:dyDescent="0.25">
      <c r="C22" s="6"/>
    </row>
    <row r="23" spans="1:30" x14ac:dyDescent="0.25">
      <c r="B23" t="s">
        <v>130</v>
      </c>
      <c r="C23" s="6">
        <f>MAX(C5:C21)</f>
        <v>45</v>
      </c>
      <c r="D23" s="8">
        <f t="shared" ref="D23:N23" si="16">MAX(D5:D21)</f>
        <v>60</v>
      </c>
      <c r="E23" s="8">
        <f t="shared" si="16"/>
        <v>60</v>
      </c>
      <c r="F23" s="8">
        <f t="shared" si="16"/>
        <v>60</v>
      </c>
      <c r="G23" s="8">
        <f t="shared" si="16"/>
        <v>59</v>
      </c>
      <c r="H23" s="8">
        <f t="shared" si="16"/>
        <v>59</v>
      </c>
      <c r="I23" s="6">
        <f t="shared" si="16"/>
        <v>1755</v>
      </c>
      <c r="J23" s="6">
        <f t="shared" si="16"/>
        <v>1845</v>
      </c>
      <c r="K23" s="6">
        <f t="shared" si="16"/>
        <v>2385</v>
      </c>
      <c r="L23" s="6">
        <f t="shared" si="16"/>
        <v>2385</v>
      </c>
      <c r="M23" s="6">
        <f t="shared" si="16"/>
        <v>1890</v>
      </c>
      <c r="N23" s="8">
        <f t="shared" si="16"/>
        <v>13</v>
      </c>
      <c r="O23" s="8">
        <f t="shared" ref="O23:AB23" si="17">MAX(O5:O21)</f>
        <v>10</v>
      </c>
      <c r="P23" s="8">
        <f t="shared" si="17"/>
        <v>11</v>
      </c>
      <c r="Q23" s="8">
        <f t="shared" si="17"/>
        <v>10</v>
      </c>
      <c r="R23" s="8">
        <f t="shared" si="17"/>
        <v>8</v>
      </c>
      <c r="S23" s="25">
        <f t="shared" si="17"/>
        <v>11.700000000000001</v>
      </c>
      <c r="T23" s="6">
        <f t="shared" si="17"/>
        <v>13.9</v>
      </c>
      <c r="U23" s="6">
        <f t="shared" si="17"/>
        <v>27</v>
      </c>
      <c r="V23" s="6">
        <f t="shared" si="17"/>
        <v>18</v>
      </c>
      <c r="W23" s="6">
        <f t="shared" si="17"/>
        <v>18.000000000000004</v>
      </c>
      <c r="X23" s="6">
        <f t="shared" si="17"/>
        <v>1755</v>
      </c>
      <c r="Y23" s="6">
        <f t="shared" si="17"/>
        <v>1845</v>
      </c>
      <c r="Z23" s="25">
        <f t="shared" si="17"/>
        <v>2403</v>
      </c>
      <c r="AA23" s="25">
        <f t="shared" si="17"/>
        <v>2403</v>
      </c>
      <c r="AB23" s="25">
        <f t="shared" si="17"/>
        <v>1890</v>
      </c>
    </row>
    <row r="24" spans="1:30" x14ac:dyDescent="0.25">
      <c r="B24" t="s">
        <v>131</v>
      </c>
      <c r="C24" s="6">
        <f>MIN(C5:C21)</f>
        <v>6.9</v>
      </c>
      <c r="D24" s="8">
        <f t="shared" ref="D24:N24" si="18">MIN(D5:D21)</f>
        <v>39</v>
      </c>
      <c r="E24" s="8">
        <f t="shared" si="18"/>
        <v>39</v>
      </c>
      <c r="F24" s="8">
        <f t="shared" si="18"/>
        <v>39</v>
      </c>
      <c r="G24" s="8">
        <f t="shared" si="18"/>
        <v>39</v>
      </c>
      <c r="H24" s="8">
        <f t="shared" si="18"/>
        <v>41</v>
      </c>
      <c r="I24" s="6">
        <f t="shared" si="18"/>
        <v>407.1</v>
      </c>
      <c r="J24" s="6">
        <f t="shared" si="18"/>
        <v>310.5</v>
      </c>
      <c r="K24" s="6">
        <f t="shared" si="18"/>
        <v>269.10000000000002</v>
      </c>
      <c r="L24" s="6">
        <f t="shared" si="18"/>
        <v>351</v>
      </c>
      <c r="M24" s="6">
        <f t="shared" si="18"/>
        <v>282.90000000000003</v>
      </c>
      <c r="N24" s="8">
        <f t="shared" si="18"/>
        <v>0</v>
      </c>
      <c r="O24" s="8">
        <f t="shared" ref="O24:AB24" si="19">MIN(O5:O21)</f>
        <v>0</v>
      </c>
      <c r="P24" s="8">
        <f t="shared" si="19"/>
        <v>0</v>
      </c>
      <c r="Q24" s="8">
        <f t="shared" si="19"/>
        <v>0</v>
      </c>
      <c r="R24" s="8">
        <f t="shared" si="19"/>
        <v>0</v>
      </c>
      <c r="S24" s="25">
        <f t="shared" si="19"/>
        <v>0</v>
      </c>
      <c r="T24" s="6">
        <f t="shared" si="19"/>
        <v>0</v>
      </c>
      <c r="U24" s="6">
        <f t="shared" si="19"/>
        <v>0</v>
      </c>
      <c r="V24" s="6">
        <f t="shared" si="19"/>
        <v>0</v>
      </c>
      <c r="W24" s="6">
        <f t="shared" si="19"/>
        <v>0</v>
      </c>
      <c r="X24" s="6">
        <f t="shared" si="19"/>
        <v>415.38</v>
      </c>
      <c r="Y24" s="6">
        <f t="shared" si="19"/>
        <v>310.5</v>
      </c>
      <c r="Z24" s="25">
        <f t="shared" si="19"/>
        <v>269.10000000000002</v>
      </c>
      <c r="AA24" s="25">
        <f t="shared" si="19"/>
        <v>351</v>
      </c>
      <c r="AB24" s="25">
        <f t="shared" si="19"/>
        <v>282.90000000000003</v>
      </c>
    </row>
    <row r="25" spans="1:30" x14ac:dyDescent="0.25">
      <c r="B25" t="s">
        <v>132</v>
      </c>
      <c r="C25" s="6">
        <f>AVERAGE(C5:C21)</f>
        <v>16.484705882352941</v>
      </c>
      <c r="D25" s="9">
        <f t="shared" ref="D25:N25" si="20">AVERAGE(D5:D21)</f>
        <v>47.411764705882355</v>
      </c>
      <c r="E25" s="9">
        <f t="shared" si="20"/>
        <v>49.882352941176471</v>
      </c>
      <c r="F25" s="9">
        <f t="shared" si="20"/>
        <v>49.411764705882355</v>
      </c>
      <c r="G25" s="9">
        <f t="shared" si="20"/>
        <v>49.117647058823529</v>
      </c>
      <c r="H25" s="9">
        <f t="shared" si="20"/>
        <v>50.941176470588232</v>
      </c>
      <c r="I25" s="6">
        <f t="shared" si="20"/>
        <v>748.12352941176482</v>
      </c>
      <c r="J25" s="6">
        <f t="shared" si="20"/>
        <v>812.68588235294112</v>
      </c>
      <c r="K25" s="6">
        <f t="shared" si="20"/>
        <v>829.86588235294118</v>
      </c>
      <c r="L25" s="6">
        <f t="shared" si="20"/>
        <v>805.76352941176469</v>
      </c>
      <c r="M25" s="6">
        <f t="shared" si="20"/>
        <v>835.64470588235292</v>
      </c>
      <c r="N25" s="9">
        <f t="shared" si="20"/>
        <v>2.1764705882352939</v>
      </c>
      <c r="O25" s="9">
        <f t="shared" ref="O25:AB25" si="21">AVERAGE(O5:O21)</f>
        <v>2.2941176470588234</v>
      </c>
      <c r="P25" s="9">
        <f t="shared" si="21"/>
        <v>3.4705882352941178</v>
      </c>
      <c r="Q25" s="9">
        <f t="shared" si="21"/>
        <v>2.8235294117647061</v>
      </c>
      <c r="R25" s="9">
        <f t="shared" si="21"/>
        <v>2.5294117647058822</v>
      </c>
      <c r="S25" s="25">
        <f t="shared" si="21"/>
        <v>1.831294117647059</v>
      </c>
      <c r="T25" s="6">
        <f t="shared" si="21"/>
        <v>3.3962352941176475</v>
      </c>
      <c r="U25" s="6">
        <f t="shared" si="21"/>
        <v>6.2197647058823531</v>
      </c>
      <c r="V25" s="6">
        <f t="shared" si="21"/>
        <v>4.253058823529412</v>
      </c>
      <c r="W25" s="6">
        <f t="shared" si="21"/>
        <v>4.1164705882352948</v>
      </c>
      <c r="X25" s="6">
        <f t="shared" si="21"/>
        <v>749.9548235294119</v>
      </c>
      <c r="Y25" s="6">
        <f t="shared" si="21"/>
        <v>816.08211764705891</v>
      </c>
      <c r="Z25" s="25">
        <f t="shared" si="21"/>
        <v>836.0856470588235</v>
      </c>
      <c r="AA25" s="25">
        <f t="shared" si="21"/>
        <v>810.01658823529419</v>
      </c>
      <c r="AB25" s="25">
        <f t="shared" si="21"/>
        <v>839.76117647058811</v>
      </c>
    </row>
    <row r="26" spans="1:30" x14ac:dyDescent="0.25">
      <c r="B26" t="s">
        <v>133</v>
      </c>
      <c r="C26" s="6">
        <f>SUM(C5:C21)</f>
        <v>280.24</v>
      </c>
      <c r="D26">
        <f>SUM(D5:D21)</f>
        <v>806</v>
      </c>
      <c r="E26" s="8">
        <f t="shared" ref="E26:AB26" si="22">SUM(E5:E21)</f>
        <v>848</v>
      </c>
      <c r="F26" s="8">
        <f t="shared" si="22"/>
        <v>840</v>
      </c>
      <c r="G26" s="8">
        <f t="shared" si="22"/>
        <v>835</v>
      </c>
      <c r="H26" s="8">
        <f t="shared" si="22"/>
        <v>866</v>
      </c>
      <c r="I26" s="25">
        <f t="shared" si="22"/>
        <v>12718.100000000002</v>
      </c>
      <c r="J26" s="25">
        <f t="shared" si="22"/>
        <v>13815.66</v>
      </c>
      <c r="K26" s="25">
        <f t="shared" si="22"/>
        <v>14107.72</v>
      </c>
      <c r="L26" s="25">
        <f t="shared" si="22"/>
        <v>13697.98</v>
      </c>
      <c r="M26" s="25">
        <f t="shared" si="22"/>
        <v>14205.96</v>
      </c>
      <c r="N26" s="7">
        <f t="shared" si="22"/>
        <v>37</v>
      </c>
      <c r="O26" s="8">
        <f t="shared" si="22"/>
        <v>39</v>
      </c>
      <c r="P26" s="8">
        <f t="shared" si="22"/>
        <v>59</v>
      </c>
      <c r="Q26" s="8">
        <f t="shared" si="22"/>
        <v>48</v>
      </c>
      <c r="R26" s="8">
        <f t="shared" si="22"/>
        <v>43</v>
      </c>
      <c r="S26" s="25">
        <f t="shared" si="22"/>
        <v>31.132000000000001</v>
      </c>
      <c r="T26" s="25">
        <f t="shared" si="22"/>
        <v>57.736000000000004</v>
      </c>
      <c r="U26" s="25">
        <f t="shared" si="22"/>
        <v>105.736</v>
      </c>
      <c r="V26" s="25">
        <f t="shared" si="22"/>
        <v>72.302000000000007</v>
      </c>
      <c r="W26" s="25">
        <f t="shared" si="22"/>
        <v>69.98</v>
      </c>
      <c r="X26" s="25">
        <f t="shared" si="22"/>
        <v>12749.232000000002</v>
      </c>
      <c r="Y26" s="25">
        <f t="shared" si="22"/>
        <v>13873.396000000001</v>
      </c>
      <c r="Z26" s="25">
        <f t="shared" si="22"/>
        <v>14213.456</v>
      </c>
      <c r="AA26" s="25">
        <f t="shared" si="22"/>
        <v>13770.282000000001</v>
      </c>
      <c r="AB26" s="25">
        <f t="shared" si="22"/>
        <v>14275.939999999999</v>
      </c>
    </row>
  </sheetData>
  <mergeCells count="1">
    <mergeCell ref="A1:B1"/>
  </mergeCells>
  <phoneticPr fontId="2" type="noConversion"/>
  <pageMargins left="0.7" right="0.7" top="0.75" bottom="0.75" header="0.3" footer="0.3"/>
  <pageSetup scale="4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F0FC-EFA2-4013-B140-B79CFDB66DCF}">
  <dimension ref="A1:AG26"/>
  <sheetViews>
    <sheetView topLeftCell="M4" zoomScale="96" zoomScaleNormal="96" workbookViewId="0">
      <selection activeCell="V13" sqref="V13"/>
    </sheetView>
  </sheetViews>
  <sheetFormatPr defaultRowHeight="15" x14ac:dyDescent="0.25"/>
  <cols>
    <col min="1" max="1" width="11.42578125" bestFit="1" customWidth="1"/>
    <col min="2" max="2" width="10.5703125" bestFit="1" customWidth="1"/>
    <col min="3" max="3" width="12" bestFit="1" customWidth="1"/>
    <col min="4" max="4" width="13.42578125" bestFit="1" customWidth="1"/>
    <col min="5" max="8" width="7.28515625" bestFit="1" customWidth="1"/>
    <col min="9" max="13" width="10.5703125" bestFit="1" customWidth="1"/>
    <col min="14" max="14" width="15" bestFit="1" customWidth="1"/>
    <col min="19" max="19" width="13.5703125" bestFit="1" customWidth="1"/>
    <col min="24" max="28" width="11.5703125" bestFit="1" customWidth="1"/>
    <col min="29" max="32" width="12.7109375" bestFit="1" customWidth="1"/>
    <col min="33" max="33" width="14" bestFit="1" customWidth="1"/>
  </cols>
  <sheetData>
    <row r="1" spans="1:33" x14ac:dyDescent="0.25">
      <c r="A1" s="82" t="s">
        <v>91</v>
      </c>
      <c r="B1" s="82"/>
      <c r="C1" s="26" t="s">
        <v>92</v>
      </c>
      <c r="D1" s="26"/>
    </row>
    <row r="2" spans="1:33" x14ac:dyDescent="0.25">
      <c r="A2" s="26"/>
      <c r="B2" s="26"/>
      <c r="C2" s="26"/>
      <c r="D2" s="26"/>
    </row>
    <row r="3" spans="1:33" s="24" customFormat="1" x14ac:dyDescent="0.25">
      <c r="D3" s="24" t="s">
        <v>139</v>
      </c>
      <c r="I3" s="24" t="s">
        <v>161</v>
      </c>
      <c r="N3" s="24" t="s">
        <v>169</v>
      </c>
      <c r="S3" s="24" t="s">
        <v>170</v>
      </c>
      <c r="X3" s="24" t="s">
        <v>147</v>
      </c>
      <c r="AC3" s="24" t="s">
        <v>162</v>
      </c>
    </row>
    <row r="4" spans="1:33" x14ac:dyDescent="0.25">
      <c r="A4" s="24" t="s">
        <v>93</v>
      </c>
      <c r="B4" s="24" t="s">
        <v>94</v>
      </c>
      <c r="C4" s="24" t="s">
        <v>95</v>
      </c>
      <c r="D4" s="24" t="s">
        <v>134</v>
      </c>
      <c r="E4" s="24" t="s">
        <v>135</v>
      </c>
      <c r="F4" s="24" t="s">
        <v>136</v>
      </c>
      <c r="G4" s="24" t="s">
        <v>137</v>
      </c>
      <c r="H4" s="24" t="s">
        <v>138</v>
      </c>
      <c r="I4" s="24" t="s">
        <v>134</v>
      </c>
      <c r="J4" s="24" t="s">
        <v>135</v>
      </c>
      <c r="K4" s="24" t="s">
        <v>136</v>
      </c>
      <c r="L4" s="24" t="s">
        <v>137</v>
      </c>
      <c r="M4" s="24" t="s">
        <v>138</v>
      </c>
      <c r="N4" s="24" t="s">
        <v>134</v>
      </c>
      <c r="O4" s="24" t="s">
        <v>135</v>
      </c>
      <c r="P4" s="24" t="s">
        <v>136</v>
      </c>
      <c r="Q4" s="24" t="s">
        <v>137</v>
      </c>
      <c r="R4" s="24" t="s">
        <v>138</v>
      </c>
      <c r="S4" s="24" t="s">
        <v>134</v>
      </c>
      <c r="T4" s="24" t="s">
        <v>135</v>
      </c>
      <c r="U4" s="24" t="s">
        <v>136</v>
      </c>
      <c r="V4" s="24" t="s">
        <v>137</v>
      </c>
      <c r="W4" s="24" t="s">
        <v>138</v>
      </c>
      <c r="X4" s="24" t="s">
        <v>134</v>
      </c>
      <c r="Y4" s="24" t="s">
        <v>135</v>
      </c>
      <c r="Z4" s="24" t="s">
        <v>136</v>
      </c>
      <c r="AA4" s="24" t="s">
        <v>137</v>
      </c>
      <c r="AB4" s="24" t="s">
        <v>138</v>
      </c>
      <c r="AC4" s="24"/>
      <c r="AD4" s="24"/>
      <c r="AE4" s="24"/>
      <c r="AF4" s="24"/>
      <c r="AG4" s="24"/>
    </row>
    <row r="5" spans="1:33" x14ac:dyDescent="0.25">
      <c r="A5" s="26" t="s">
        <v>96</v>
      </c>
      <c r="B5" s="26" t="s">
        <v>97</v>
      </c>
      <c r="C5" s="6">
        <v>15.9</v>
      </c>
      <c r="D5" s="26">
        <v>47</v>
      </c>
      <c r="E5">
        <v>52</v>
      </c>
      <c r="F5">
        <v>40</v>
      </c>
      <c r="G5">
        <v>40</v>
      </c>
      <c r="H5">
        <v>39</v>
      </c>
      <c r="I5" s="6">
        <f>$C5*D5</f>
        <v>747.30000000000007</v>
      </c>
      <c r="J5" s="6">
        <f t="shared" ref="J5:M20" si="0">$C5*E5</f>
        <v>826.80000000000007</v>
      </c>
      <c r="K5" s="6">
        <f t="shared" si="0"/>
        <v>636</v>
      </c>
      <c r="L5" s="6">
        <f t="shared" si="0"/>
        <v>636</v>
      </c>
      <c r="M5" s="6">
        <f t="shared" si="0"/>
        <v>620.1</v>
      </c>
      <c r="N5" s="8">
        <f>IF(D5&gt;45,D5-45,0)</f>
        <v>2</v>
      </c>
      <c r="O5" s="8">
        <f t="shared" ref="O5:R20" si="1">IF(E5&gt;45,E5-45,0)</f>
        <v>7</v>
      </c>
      <c r="P5" s="8">
        <f t="shared" si="1"/>
        <v>0</v>
      </c>
      <c r="Q5" s="8">
        <f t="shared" si="1"/>
        <v>0</v>
      </c>
      <c r="R5" s="8">
        <f t="shared" si="1"/>
        <v>0</v>
      </c>
      <c r="S5" s="6">
        <f>0.1*$C5*N5</f>
        <v>3.18</v>
      </c>
      <c r="T5" s="6">
        <f t="shared" ref="T5:W20" si="2">0.1*$C5*O5</f>
        <v>11.13</v>
      </c>
      <c r="U5" s="6">
        <f t="shared" si="2"/>
        <v>0</v>
      </c>
      <c r="V5" s="6">
        <f t="shared" si="2"/>
        <v>0</v>
      </c>
      <c r="W5" s="6">
        <f t="shared" si="2"/>
        <v>0</v>
      </c>
      <c r="X5" s="6">
        <f>SUM(I5+S5)</f>
        <v>750.48</v>
      </c>
      <c r="Y5" s="6">
        <f>SUM(J5+T5)</f>
        <v>837.93000000000006</v>
      </c>
      <c r="Z5" s="6">
        <f t="shared" ref="Y5:AB20" si="3">SUM(K5+U5)</f>
        <v>636</v>
      </c>
      <c r="AA5" s="6">
        <f t="shared" si="3"/>
        <v>636</v>
      </c>
      <c r="AB5" s="6">
        <f t="shared" si="3"/>
        <v>620.1</v>
      </c>
      <c r="AC5" s="6">
        <f>SUM(X5+Y5+Z5+AA5+AB5)</f>
        <v>3480.5099999999998</v>
      </c>
      <c r="AD5" s="6"/>
      <c r="AE5" s="6"/>
      <c r="AF5" s="6"/>
      <c r="AG5" s="6"/>
    </row>
    <row r="6" spans="1:33" x14ac:dyDescent="0.25">
      <c r="A6" s="26" t="s">
        <v>98</v>
      </c>
      <c r="B6" s="26" t="s">
        <v>99</v>
      </c>
      <c r="C6" s="6">
        <v>10</v>
      </c>
      <c r="D6" s="26">
        <v>49</v>
      </c>
      <c r="E6">
        <v>52</v>
      </c>
      <c r="F6">
        <v>58</v>
      </c>
      <c r="G6">
        <v>48</v>
      </c>
      <c r="H6">
        <v>51</v>
      </c>
      <c r="I6" s="6">
        <f t="shared" ref="I6:I21" si="4">$C6*D6</f>
        <v>490</v>
      </c>
      <c r="J6" s="6">
        <f t="shared" si="0"/>
        <v>520</v>
      </c>
      <c r="K6" s="6">
        <f t="shared" si="0"/>
        <v>580</v>
      </c>
      <c r="L6" s="6">
        <f t="shared" si="0"/>
        <v>480</v>
      </c>
      <c r="M6" s="6">
        <f t="shared" si="0"/>
        <v>510</v>
      </c>
      <c r="N6" s="8">
        <f t="shared" ref="N6:N21" si="5">IF(D6&gt;45,D6-45,0)</f>
        <v>4</v>
      </c>
      <c r="O6" s="8">
        <f t="shared" si="1"/>
        <v>7</v>
      </c>
      <c r="P6" s="8">
        <f t="shared" si="1"/>
        <v>13</v>
      </c>
      <c r="Q6" s="8">
        <f t="shared" si="1"/>
        <v>3</v>
      </c>
      <c r="R6" s="8">
        <f t="shared" si="1"/>
        <v>6</v>
      </c>
      <c r="S6" s="6">
        <f t="shared" ref="S6:S21" si="6">0.1*$C6*N6</f>
        <v>4</v>
      </c>
      <c r="T6" s="6">
        <f t="shared" si="2"/>
        <v>7</v>
      </c>
      <c r="U6" s="6">
        <f t="shared" si="2"/>
        <v>13</v>
      </c>
      <c r="V6" s="6">
        <f t="shared" si="2"/>
        <v>3</v>
      </c>
      <c r="W6" s="6">
        <f t="shared" si="2"/>
        <v>6</v>
      </c>
      <c r="X6" s="6">
        <f t="shared" ref="X6:X21" si="7">SUM(I6+S6)</f>
        <v>494</v>
      </c>
      <c r="Y6" s="6">
        <f t="shared" si="3"/>
        <v>527</v>
      </c>
      <c r="Z6" s="6">
        <f t="shared" si="3"/>
        <v>593</v>
      </c>
      <c r="AA6" s="6">
        <f t="shared" si="3"/>
        <v>483</v>
      </c>
      <c r="AB6" s="6">
        <f t="shared" si="3"/>
        <v>516</v>
      </c>
      <c r="AC6" s="6">
        <f t="shared" ref="AC6:AC21" si="8">SUM(X6+Y6+Z6+AA6+AB6)</f>
        <v>2613</v>
      </c>
      <c r="AD6" s="6"/>
      <c r="AE6" s="6"/>
      <c r="AF6" s="6"/>
      <c r="AG6" s="6"/>
    </row>
    <row r="7" spans="1:33" x14ac:dyDescent="0.25">
      <c r="A7" s="26" t="s">
        <v>100</v>
      </c>
      <c r="B7" s="26" t="s">
        <v>101</v>
      </c>
      <c r="C7" s="6">
        <v>22.1</v>
      </c>
      <c r="D7" s="26">
        <v>45</v>
      </c>
      <c r="E7">
        <v>43</v>
      </c>
      <c r="F7">
        <v>56</v>
      </c>
      <c r="G7">
        <v>41</v>
      </c>
      <c r="H7">
        <v>58</v>
      </c>
      <c r="I7" s="6">
        <f t="shared" si="4"/>
        <v>994.50000000000011</v>
      </c>
      <c r="J7" s="6">
        <f t="shared" si="0"/>
        <v>950.30000000000007</v>
      </c>
      <c r="K7" s="6">
        <f t="shared" si="0"/>
        <v>1237.6000000000001</v>
      </c>
      <c r="L7" s="6">
        <f t="shared" si="0"/>
        <v>906.1</v>
      </c>
      <c r="M7" s="6">
        <f t="shared" si="0"/>
        <v>1281.8000000000002</v>
      </c>
      <c r="N7" s="8">
        <f t="shared" si="5"/>
        <v>0</v>
      </c>
      <c r="O7" s="8">
        <f t="shared" si="1"/>
        <v>0</v>
      </c>
      <c r="P7" s="8">
        <f t="shared" si="1"/>
        <v>11</v>
      </c>
      <c r="Q7" s="8">
        <f t="shared" si="1"/>
        <v>0</v>
      </c>
      <c r="R7" s="8">
        <f t="shared" si="1"/>
        <v>13</v>
      </c>
      <c r="S7" s="6">
        <f t="shared" si="6"/>
        <v>0</v>
      </c>
      <c r="T7" s="6">
        <f t="shared" si="2"/>
        <v>0</v>
      </c>
      <c r="U7" s="6">
        <f t="shared" si="2"/>
        <v>24.310000000000006</v>
      </c>
      <c r="V7" s="6">
        <f t="shared" si="2"/>
        <v>0</v>
      </c>
      <c r="W7" s="6">
        <f t="shared" si="2"/>
        <v>28.730000000000004</v>
      </c>
      <c r="X7" s="6">
        <f t="shared" si="7"/>
        <v>994.50000000000011</v>
      </c>
      <c r="Y7" s="6">
        <f t="shared" si="3"/>
        <v>950.30000000000007</v>
      </c>
      <c r="Z7" s="6">
        <f t="shared" si="3"/>
        <v>1261.9100000000001</v>
      </c>
      <c r="AA7" s="6">
        <f t="shared" si="3"/>
        <v>906.1</v>
      </c>
      <c r="AB7" s="6">
        <f t="shared" si="3"/>
        <v>1310.5300000000002</v>
      </c>
      <c r="AC7" s="6">
        <f t="shared" si="8"/>
        <v>5423.34</v>
      </c>
      <c r="AD7" s="6"/>
      <c r="AE7" s="6"/>
      <c r="AF7" s="6"/>
      <c r="AG7" s="6"/>
    </row>
    <row r="8" spans="1:33" x14ac:dyDescent="0.25">
      <c r="A8" s="26" t="s">
        <v>102</v>
      </c>
      <c r="B8" s="26" t="s">
        <v>103</v>
      </c>
      <c r="C8" s="6">
        <v>19.100000000000001</v>
      </c>
      <c r="D8" s="26">
        <v>43</v>
      </c>
      <c r="E8">
        <v>52</v>
      </c>
      <c r="F8">
        <v>60</v>
      </c>
      <c r="G8">
        <v>48</v>
      </c>
      <c r="H8">
        <v>44</v>
      </c>
      <c r="I8" s="6">
        <f t="shared" si="4"/>
        <v>821.30000000000007</v>
      </c>
      <c r="J8" s="6">
        <f t="shared" si="0"/>
        <v>993.2</v>
      </c>
      <c r="K8" s="6">
        <f t="shared" si="0"/>
        <v>1146</v>
      </c>
      <c r="L8" s="6">
        <f t="shared" si="0"/>
        <v>916.80000000000007</v>
      </c>
      <c r="M8" s="6">
        <f t="shared" si="0"/>
        <v>840.40000000000009</v>
      </c>
      <c r="N8" s="8">
        <f t="shared" si="5"/>
        <v>0</v>
      </c>
      <c r="O8" s="8">
        <f t="shared" si="1"/>
        <v>7</v>
      </c>
      <c r="P8" s="8">
        <f t="shared" si="1"/>
        <v>15</v>
      </c>
      <c r="Q8" s="8">
        <f t="shared" si="1"/>
        <v>3</v>
      </c>
      <c r="R8" s="8">
        <f t="shared" si="1"/>
        <v>0</v>
      </c>
      <c r="S8" s="6">
        <f t="shared" si="6"/>
        <v>0</v>
      </c>
      <c r="T8" s="6">
        <f t="shared" si="2"/>
        <v>13.370000000000001</v>
      </c>
      <c r="U8" s="6">
        <f t="shared" si="2"/>
        <v>28.650000000000002</v>
      </c>
      <c r="V8" s="6">
        <f t="shared" si="2"/>
        <v>5.73</v>
      </c>
      <c r="W8" s="6">
        <f t="shared" si="2"/>
        <v>0</v>
      </c>
      <c r="X8" s="6">
        <f t="shared" si="7"/>
        <v>821.30000000000007</v>
      </c>
      <c r="Y8" s="6">
        <f t="shared" si="3"/>
        <v>1006.57</v>
      </c>
      <c r="Z8" s="6">
        <f t="shared" si="3"/>
        <v>1174.6500000000001</v>
      </c>
      <c r="AA8" s="6">
        <f t="shared" si="3"/>
        <v>922.53000000000009</v>
      </c>
      <c r="AB8" s="6">
        <f t="shared" si="3"/>
        <v>840.40000000000009</v>
      </c>
      <c r="AC8" s="6">
        <f t="shared" si="8"/>
        <v>4765.4500000000007</v>
      </c>
      <c r="AD8" s="6"/>
      <c r="AE8" s="6"/>
      <c r="AF8" s="6"/>
      <c r="AG8" s="6"/>
    </row>
    <row r="9" spans="1:33" x14ac:dyDescent="0.25">
      <c r="A9" s="26" t="s">
        <v>104</v>
      </c>
      <c r="B9" s="26" t="s">
        <v>105</v>
      </c>
      <c r="C9" s="6">
        <v>6.9</v>
      </c>
      <c r="D9" s="26">
        <v>59</v>
      </c>
      <c r="E9">
        <v>59</v>
      </c>
      <c r="F9">
        <v>42</v>
      </c>
      <c r="G9">
        <v>57</v>
      </c>
      <c r="H9">
        <v>39</v>
      </c>
      <c r="I9" s="6">
        <f t="shared" si="4"/>
        <v>407.1</v>
      </c>
      <c r="J9" s="6">
        <f t="shared" si="0"/>
        <v>407.1</v>
      </c>
      <c r="K9" s="6">
        <f t="shared" si="0"/>
        <v>289.8</v>
      </c>
      <c r="L9" s="6">
        <f t="shared" si="0"/>
        <v>393.3</v>
      </c>
      <c r="M9" s="6">
        <f t="shared" si="0"/>
        <v>269.10000000000002</v>
      </c>
      <c r="N9" s="8">
        <f t="shared" si="5"/>
        <v>14</v>
      </c>
      <c r="O9" s="8">
        <f t="shared" si="1"/>
        <v>14</v>
      </c>
      <c r="P9" s="8">
        <f t="shared" si="1"/>
        <v>0</v>
      </c>
      <c r="Q9" s="8">
        <f t="shared" si="1"/>
        <v>12</v>
      </c>
      <c r="R9" s="8">
        <f t="shared" si="1"/>
        <v>0</v>
      </c>
      <c r="S9" s="6">
        <f t="shared" si="6"/>
        <v>9.66</v>
      </c>
      <c r="T9" s="6">
        <f t="shared" si="2"/>
        <v>9.66</v>
      </c>
      <c r="U9" s="6">
        <f t="shared" si="2"/>
        <v>0</v>
      </c>
      <c r="V9" s="6">
        <f t="shared" si="2"/>
        <v>8.2800000000000011</v>
      </c>
      <c r="W9" s="6">
        <f t="shared" si="2"/>
        <v>0</v>
      </c>
      <c r="X9" s="6">
        <f t="shared" si="7"/>
        <v>416.76000000000005</v>
      </c>
      <c r="Y9" s="6">
        <f t="shared" si="3"/>
        <v>416.76000000000005</v>
      </c>
      <c r="Z9" s="6">
        <f t="shared" si="3"/>
        <v>289.8</v>
      </c>
      <c r="AA9" s="6">
        <f t="shared" si="3"/>
        <v>401.58000000000004</v>
      </c>
      <c r="AB9" s="6">
        <f t="shared" si="3"/>
        <v>269.10000000000002</v>
      </c>
      <c r="AC9" s="6">
        <f t="shared" si="8"/>
        <v>1794</v>
      </c>
      <c r="AD9" s="6"/>
      <c r="AE9" s="6"/>
      <c r="AF9" s="6"/>
      <c r="AG9" s="6"/>
    </row>
    <row r="10" spans="1:33" x14ac:dyDescent="0.25">
      <c r="A10" s="26" t="s">
        <v>106</v>
      </c>
      <c r="B10" s="26" t="s">
        <v>107</v>
      </c>
      <c r="C10" s="6">
        <v>14.2</v>
      </c>
      <c r="D10" s="26">
        <v>46</v>
      </c>
      <c r="E10">
        <v>43</v>
      </c>
      <c r="F10">
        <v>59</v>
      </c>
      <c r="G10">
        <v>50</v>
      </c>
      <c r="H10">
        <v>47</v>
      </c>
      <c r="I10" s="6">
        <f t="shared" si="4"/>
        <v>653.19999999999993</v>
      </c>
      <c r="J10" s="6">
        <f t="shared" si="0"/>
        <v>610.6</v>
      </c>
      <c r="K10" s="6">
        <f t="shared" si="0"/>
        <v>837.8</v>
      </c>
      <c r="L10" s="6">
        <f t="shared" si="0"/>
        <v>710</v>
      </c>
      <c r="M10" s="6">
        <f t="shared" si="0"/>
        <v>667.4</v>
      </c>
      <c r="N10" s="8">
        <f t="shared" si="5"/>
        <v>1</v>
      </c>
      <c r="O10" s="8">
        <f t="shared" si="1"/>
        <v>0</v>
      </c>
      <c r="P10" s="8">
        <f t="shared" si="1"/>
        <v>14</v>
      </c>
      <c r="Q10" s="8">
        <f t="shared" si="1"/>
        <v>5</v>
      </c>
      <c r="R10" s="8">
        <f t="shared" si="1"/>
        <v>2</v>
      </c>
      <c r="S10" s="6">
        <f t="shared" si="6"/>
        <v>1.42</v>
      </c>
      <c r="T10" s="6">
        <f t="shared" si="2"/>
        <v>0</v>
      </c>
      <c r="U10" s="6">
        <f t="shared" si="2"/>
        <v>19.88</v>
      </c>
      <c r="V10" s="6">
        <f t="shared" si="2"/>
        <v>7.1</v>
      </c>
      <c r="W10" s="6">
        <f t="shared" si="2"/>
        <v>2.84</v>
      </c>
      <c r="X10" s="6">
        <f t="shared" si="7"/>
        <v>654.61999999999989</v>
      </c>
      <c r="Y10" s="6">
        <f t="shared" si="3"/>
        <v>610.6</v>
      </c>
      <c r="Z10" s="6">
        <f t="shared" si="3"/>
        <v>857.68</v>
      </c>
      <c r="AA10" s="6">
        <f t="shared" si="3"/>
        <v>717.1</v>
      </c>
      <c r="AB10" s="6">
        <f t="shared" si="3"/>
        <v>670.24</v>
      </c>
      <c r="AC10" s="6">
        <f t="shared" si="8"/>
        <v>3510.24</v>
      </c>
      <c r="AD10" s="6"/>
      <c r="AE10" s="6"/>
      <c r="AF10" s="6"/>
      <c r="AG10" s="6"/>
    </row>
    <row r="11" spans="1:33" x14ac:dyDescent="0.25">
      <c r="A11" s="26" t="s">
        <v>108</v>
      </c>
      <c r="B11" s="26" t="s">
        <v>109</v>
      </c>
      <c r="C11" s="6">
        <v>18</v>
      </c>
      <c r="D11" s="26">
        <v>45</v>
      </c>
      <c r="E11">
        <v>57</v>
      </c>
      <c r="F11">
        <v>55</v>
      </c>
      <c r="G11">
        <v>59</v>
      </c>
      <c r="H11">
        <v>60</v>
      </c>
      <c r="I11" s="6">
        <f t="shared" si="4"/>
        <v>810</v>
      </c>
      <c r="J11" s="6">
        <f t="shared" si="0"/>
        <v>1026</v>
      </c>
      <c r="K11" s="6">
        <f t="shared" si="0"/>
        <v>990</v>
      </c>
      <c r="L11" s="6">
        <f t="shared" si="0"/>
        <v>1062</v>
      </c>
      <c r="M11" s="6">
        <f t="shared" si="0"/>
        <v>1080</v>
      </c>
      <c r="N11" s="8">
        <f t="shared" si="5"/>
        <v>0</v>
      </c>
      <c r="O11" s="8">
        <f t="shared" si="1"/>
        <v>12</v>
      </c>
      <c r="P11" s="8">
        <f t="shared" si="1"/>
        <v>10</v>
      </c>
      <c r="Q11" s="8">
        <f t="shared" si="1"/>
        <v>14</v>
      </c>
      <c r="R11" s="8">
        <f t="shared" si="1"/>
        <v>15</v>
      </c>
      <c r="S11" s="6">
        <f t="shared" si="6"/>
        <v>0</v>
      </c>
      <c r="T11" s="6">
        <f t="shared" si="2"/>
        <v>21.6</v>
      </c>
      <c r="U11" s="6">
        <f t="shared" si="2"/>
        <v>18</v>
      </c>
      <c r="V11" s="6">
        <f t="shared" si="2"/>
        <v>25.2</v>
      </c>
      <c r="W11" s="6">
        <f t="shared" si="2"/>
        <v>27</v>
      </c>
      <c r="X11" s="6">
        <f t="shared" si="7"/>
        <v>810</v>
      </c>
      <c r="Y11" s="6">
        <f t="shared" si="3"/>
        <v>1047.5999999999999</v>
      </c>
      <c r="Z11" s="6">
        <f t="shared" si="3"/>
        <v>1008</v>
      </c>
      <c r="AA11" s="6">
        <f t="shared" si="3"/>
        <v>1087.2</v>
      </c>
      <c r="AB11" s="6">
        <f t="shared" si="3"/>
        <v>1107</v>
      </c>
      <c r="AC11" s="6">
        <f t="shared" si="8"/>
        <v>5059.8</v>
      </c>
      <c r="AD11" s="6"/>
      <c r="AE11" s="6"/>
      <c r="AF11" s="6"/>
      <c r="AG11" s="6"/>
    </row>
    <row r="12" spans="1:33" x14ac:dyDescent="0.25">
      <c r="A12" s="26" t="s">
        <v>110</v>
      </c>
      <c r="B12" s="26" t="s">
        <v>111</v>
      </c>
      <c r="C12" s="6">
        <v>17.5</v>
      </c>
      <c r="D12" s="26">
        <v>43</v>
      </c>
      <c r="E12">
        <v>39</v>
      </c>
      <c r="F12">
        <v>58</v>
      </c>
      <c r="G12">
        <v>47</v>
      </c>
      <c r="H12">
        <v>39</v>
      </c>
      <c r="I12" s="6">
        <f t="shared" si="4"/>
        <v>752.5</v>
      </c>
      <c r="J12" s="6">
        <f t="shared" si="0"/>
        <v>682.5</v>
      </c>
      <c r="K12" s="6">
        <f t="shared" si="0"/>
        <v>1015</v>
      </c>
      <c r="L12" s="6">
        <f t="shared" si="0"/>
        <v>822.5</v>
      </c>
      <c r="M12" s="6">
        <f t="shared" si="0"/>
        <v>682.5</v>
      </c>
      <c r="N12" s="8">
        <f t="shared" si="5"/>
        <v>0</v>
      </c>
      <c r="O12" s="8">
        <f t="shared" si="1"/>
        <v>0</v>
      </c>
      <c r="P12" s="8">
        <f t="shared" si="1"/>
        <v>13</v>
      </c>
      <c r="Q12" s="8">
        <f t="shared" si="1"/>
        <v>2</v>
      </c>
      <c r="R12" s="8">
        <f t="shared" si="1"/>
        <v>0</v>
      </c>
      <c r="S12" s="6">
        <f t="shared" si="6"/>
        <v>0</v>
      </c>
      <c r="T12" s="6">
        <f t="shared" si="2"/>
        <v>0</v>
      </c>
      <c r="U12" s="6">
        <f t="shared" si="2"/>
        <v>22.75</v>
      </c>
      <c r="V12" s="6">
        <f t="shared" si="2"/>
        <v>3.5</v>
      </c>
      <c r="W12" s="6">
        <f t="shared" si="2"/>
        <v>0</v>
      </c>
      <c r="X12" s="6">
        <f t="shared" si="7"/>
        <v>752.5</v>
      </c>
      <c r="Y12" s="6">
        <f t="shared" si="3"/>
        <v>682.5</v>
      </c>
      <c r="Z12" s="6">
        <f t="shared" si="3"/>
        <v>1037.75</v>
      </c>
      <c r="AA12" s="6">
        <f t="shared" si="3"/>
        <v>826</v>
      </c>
      <c r="AB12" s="6">
        <f t="shared" si="3"/>
        <v>682.5</v>
      </c>
      <c r="AC12" s="6">
        <f t="shared" si="8"/>
        <v>3981.25</v>
      </c>
      <c r="AD12" s="6"/>
      <c r="AE12" s="6"/>
      <c r="AF12" s="6"/>
      <c r="AG12" s="6"/>
    </row>
    <row r="13" spans="1:33" x14ac:dyDescent="0.25">
      <c r="A13" s="26" t="s">
        <v>112</v>
      </c>
      <c r="B13" s="26" t="s">
        <v>113</v>
      </c>
      <c r="C13" s="6">
        <v>14.7</v>
      </c>
      <c r="D13" s="26">
        <v>46</v>
      </c>
      <c r="E13">
        <v>47</v>
      </c>
      <c r="F13">
        <v>57</v>
      </c>
      <c r="G13">
        <v>45</v>
      </c>
      <c r="H13">
        <v>58</v>
      </c>
      <c r="I13" s="6">
        <f t="shared" si="4"/>
        <v>676.19999999999993</v>
      </c>
      <c r="J13" s="6">
        <f t="shared" si="0"/>
        <v>690.9</v>
      </c>
      <c r="K13" s="6">
        <f t="shared" si="0"/>
        <v>837.9</v>
      </c>
      <c r="L13" s="6">
        <f t="shared" si="0"/>
        <v>661.5</v>
      </c>
      <c r="M13" s="6">
        <f t="shared" si="0"/>
        <v>852.59999999999991</v>
      </c>
      <c r="N13" s="8">
        <f t="shared" si="5"/>
        <v>1</v>
      </c>
      <c r="O13" s="8">
        <f t="shared" si="1"/>
        <v>2</v>
      </c>
      <c r="P13" s="8">
        <f t="shared" si="1"/>
        <v>12</v>
      </c>
      <c r="Q13" s="8">
        <f t="shared" si="1"/>
        <v>0</v>
      </c>
      <c r="R13" s="8">
        <f t="shared" si="1"/>
        <v>13</v>
      </c>
      <c r="S13" s="6">
        <f t="shared" si="6"/>
        <v>1.47</v>
      </c>
      <c r="T13" s="6">
        <f t="shared" si="2"/>
        <v>2.94</v>
      </c>
      <c r="U13" s="6">
        <f t="shared" si="2"/>
        <v>17.64</v>
      </c>
      <c r="V13" s="6">
        <f t="shared" si="2"/>
        <v>0</v>
      </c>
      <c r="W13" s="6">
        <f t="shared" si="2"/>
        <v>19.11</v>
      </c>
      <c r="X13" s="6">
        <f t="shared" si="7"/>
        <v>677.67</v>
      </c>
      <c r="Y13" s="6">
        <f t="shared" si="3"/>
        <v>693.84</v>
      </c>
      <c r="Z13" s="6">
        <f t="shared" si="3"/>
        <v>855.54</v>
      </c>
      <c r="AA13" s="6">
        <f t="shared" si="3"/>
        <v>661.5</v>
      </c>
      <c r="AB13" s="6">
        <f t="shared" si="3"/>
        <v>871.70999999999992</v>
      </c>
      <c r="AC13" s="6">
        <f t="shared" si="8"/>
        <v>3760.26</v>
      </c>
      <c r="AD13" s="6"/>
      <c r="AE13" s="6"/>
      <c r="AF13" s="6"/>
      <c r="AG13" s="6"/>
    </row>
    <row r="14" spans="1:33" x14ac:dyDescent="0.25">
      <c r="A14" s="26" t="s">
        <v>114</v>
      </c>
      <c r="B14" s="26" t="s">
        <v>115</v>
      </c>
      <c r="C14" s="6">
        <v>13.9</v>
      </c>
      <c r="D14" s="26">
        <v>48</v>
      </c>
      <c r="E14">
        <v>56</v>
      </c>
      <c r="F14">
        <v>40</v>
      </c>
      <c r="G14">
        <v>40</v>
      </c>
      <c r="H14">
        <v>41</v>
      </c>
      <c r="I14" s="6">
        <f t="shared" si="4"/>
        <v>667.2</v>
      </c>
      <c r="J14" s="6">
        <f t="shared" si="0"/>
        <v>778.4</v>
      </c>
      <c r="K14" s="6">
        <f t="shared" si="0"/>
        <v>556</v>
      </c>
      <c r="L14" s="6">
        <f t="shared" si="0"/>
        <v>556</v>
      </c>
      <c r="M14" s="6">
        <f t="shared" si="0"/>
        <v>569.9</v>
      </c>
      <c r="N14" s="8">
        <f t="shared" si="5"/>
        <v>3</v>
      </c>
      <c r="O14" s="8">
        <f t="shared" si="1"/>
        <v>11</v>
      </c>
      <c r="P14" s="8">
        <f t="shared" si="1"/>
        <v>0</v>
      </c>
      <c r="Q14" s="8">
        <f t="shared" si="1"/>
        <v>0</v>
      </c>
      <c r="R14" s="8">
        <f t="shared" si="1"/>
        <v>0</v>
      </c>
      <c r="S14" s="6">
        <f t="shared" si="6"/>
        <v>4.17</v>
      </c>
      <c r="T14" s="6">
        <f t="shared" si="2"/>
        <v>15.290000000000001</v>
      </c>
      <c r="U14" s="6">
        <f t="shared" si="2"/>
        <v>0</v>
      </c>
      <c r="V14" s="6">
        <f t="shared" si="2"/>
        <v>0</v>
      </c>
      <c r="W14" s="6">
        <f t="shared" si="2"/>
        <v>0</v>
      </c>
      <c r="X14" s="6">
        <f t="shared" si="7"/>
        <v>671.37</v>
      </c>
      <c r="Y14" s="6">
        <f t="shared" si="3"/>
        <v>793.68999999999994</v>
      </c>
      <c r="Z14" s="6">
        <f t="shared" si="3"/>
        <v>556</v>
      </c>
      <c r="AA14" s="6">
        <f t="shared" si="3"/>
        <v>556</v>
      </c>
      <c r="AB14" s="6">
        <f t="shared" si="3"/>
        <v>569.9</v>
      </c>
      <c r="AC14" s="6">
        <f t="shared" si="8"/>
        <v>3146.96</v>
      </c>
      <c r="AD14" s="6"/>
      <c r="AE14" s="6"/>
      <c r="AF14" s="6"/>
      <c r="AG14" s="6"/>
    </row>
    <row r="15" spans="1:33" x14ac:dyDescent="0.25">
      <c r="A15" s="26" t="s">
        <v>116</v>
      </c>
      <c r="B15" s="26" t="s">
        <v>117</v>
      </c>
      <c r="C15" s="6">
        <v>11.2</v>
      </c>
      <c r="D15" s="26">
        <v>43</v>
      </c>
      <c r="E15">
        <v>58</v>
      </c>
      <c r="F15">
        <v>42</v>
      </c>
      <c r="G15">
        <v>42</v>
      </c>
      <c r="H15">
        <v>41</v>
      </c>
      <c r="I15" s="6">
        <f t="shared" si="4"/>
        <v>481.59999999999997</v>
      </c>
      <c r="J15" s="6">
        <f t="shared" si="0"/>
        <v>649.59999999999991</v>
      </c>
      <c r="K15" s="6">
        <f t="shared" si="0"/>
        <v>470.4</v>
      </c>
      <c r="L15" s="6">
        <f t="shared" si="0"/>
        <v>470.4</v>
      </c>
      <c r="M15" s="6">
        <f t="shared" si="0"/>
        <v>459.2</v>
      </c>
      <c r="N15" s="8">
        <f t="shared" si="5"/>
        <v>0</v>
      </c>
      <c r="O15" s="8">
        <f t="shared" si="1"/>
        <v>13</v>
      </c>
      <c r="P15" s="8">
        <f t="shared" si="1"/>
        <v>0</v>
      </c>
      <c r="Q15" s="8">
        <f t="shared" si="1"/>
        <v>0</v>
      </c>
      <c r="R15" s="8">
        <f t="shared" si="1"/>
        <v>0</v>
      </c>
      <c r="S15" s="6">
        <f t="shared" si="6"/>
        <v>0</v>
      </c>
      <c r="T15" s="6">
        <f t="shared" si="2"/>
        <v>14.559999999999999</v>
      </c>
      <c r="U15" s="6">
        <f t="shared" si="2"/>
        <v>0</v>
      </c>
      <c r="V15" s="6">
        <f t="shared" si="2"/>
        <v>0</v>
      </c>
      <c r="W15" s="6">
        <f t="shared" si="2"/>
        <v>0</v>
      </c>
      <c r="X15" s="6">
        <f t="shared" si="7"/>
        <v>481.59999999999997</v>
      </c>
      <c r="Y15" s="6">
        <f t="shared" si="3"/>
        <v>664.15999999999985</v>
      </c>
      <c r="Z15" s="6">
        <f t="shared" si="3"/>
        <v>470.4</v>
      </c>
      <c r="AA15" s="6">
        <f t="shared" si="3"/>
        <v>470.4</v>
      </c>
      <c r="AB15" s="6">
        <f t="shared" si="3"/>
        <v>459.2</v>
      </c>
      <c r="AC15" s="6">
        <f t="shared" si="8"/>
        <v>2545.7599999999998</v>
      </c>
      <c r="AD15" s="6"/>
      <c r="AE15" s="6"/>
      <c r="AF15" s="6"/>
      <c r="AG15" s="6"/>
    </row>
    <row r="16" spans="1:33" x14ac:dyDescent="0.25">
      <c r="A16" s="26" t="s">
        <v>118</v>
      </c>
      <c r="B16" s="26" t="s">
        <v>119</v>
      </c>
      <c r="C16" s="6">
        <v>10.1</v>
      </c>
      <c r="D16" s="26">
        <v>48</v>
      </c>
      <c r="E16">
        <v>48</v>
      </c>
      <c r="F16">
        <v>58</v>
      </c>
      <c r="G16">
        <v>44</v>
      </c>
      <c r="H16">
        <v>53</v>
      </c>
      <c r="I16" s="6">
        <f t="shared" si="4"/>
        <v>484.79999999999995</v>
      </c>
      <c r="J16" s="6">
        <f t="shared" si="0"/>
        <v>484.79999999999995</v>
      </c>
      <c r="K16" s="6">
        <f t="shared" si="0"/>
        <v>585.79999999999995</v>
      </c>
      <c r="L16" s="6">
        <f t="shared" si="0"/>
        <v>444.4</v>
      </c>
      <c r="M16" s="6">
        <f t="shared" si="0"/>
        <v>535.29999999999995</v>
      </c>
      <c r="N16" s="8">
        <f t="shared" si="5"/>
        <v>3</v>
      </c>
      <c r="O16" s="8">
        <f t="shared" si="1"/>
        <v>3</v>
      </c>
      <c r="P16" s="8">
        <f t="shared" si="1"/>
        <v>13</v>
      </c>
      <c r="Q16" s="8">
        <f t="shared" si="1"/>
        <v>0</v>
      </c>
      <c r="R16" s="8">
        <f t="shared" si="1"/>
        <v>8</v>
      </c>
      <c r="S16" s="6">
        <f t="shared" si="6"/>
        <v>3.0300000000000002</v>
      </c>
      <c r="T16" s="6">
        <f t="shared" si="2"/>
        <v>3.0300000000000002</v>
      </c>
      <c r="U16" s="6">
        <f t="shared" si="2"/>
        <v>13.13</v>
      </c>
      <c r="V16" s="6">
        <f t="shared" si="2"/>
        <v>0</v>
      </c>
      <c r="W16" s="6">
        <f t="shared" si="2"/>
        <v>8.08</v>
      </c>
      <c r="X16" s="6">
        <f t="shared" si="7"/>
        <v>487.82999999999993</v>
      </c>
      <c r="Y16" s="6">
        <f t="shared" si="3"/>
        <v>487.82999999999993</v>
      </c>
      <c r="Z16" s="6">
        <f t="shared" si="3"/>
        <v>598.92999999999995</v>
      </c>
      <c r="AA16" s="6">
        <f t="shared" si="3"/>
        <v>444.4</v>
      </c>
      <c r="AB16" s="6">
        <f t="shared" si="3"/>
        <v>543.38</v>
      </c>
      <c r="AC16" s="6">
        <f t="shared" si="8"/>
        <v>2562.37</v>
      </c>
      <c r="AD16" s="6"/>
      <c r="AE16" s="6"/>
      <c r="AF16" s="6"/>
      <c r="AG16" s="6"/>
    </row>
    <row r="17" spans="1:33" x14ac:dyDescent="0.25">
      <c r="A17" s="26" t="s">
        <v>120</v>
      </c>
      <c r="B17" s="26" t="s">
        <v>121</v>
      </c>
      <c r="C17" s="6">
        <v>9</v>
      </c>
      <c r="D17" s="26">
        <v>60</v>
      </c>
      <c r="E17">
        <v>46</v>
      </c>
      <c r="F17">
        <v>49</v>
      </c>
      <c r="G17">
        <v>59</v>
      </c>
      <c r="H17">
        <v>43</v>
      </c>
      <c r="I17" s="6">
        <f t="shared" si="4"/>
        <v>540</v>
      </c>
      <c r="J17" s="6">
        <f t="shared" si="0"/>
        <v>414</v>
      </c>
      <c r="K17" s="6">
        <f t="shared" si="0"/>
        <v>441</v>
      </c>
      <c r="L17" s="6">
        <f t="shared" si="0"/>
        <v>531</v>
      </c>
      <c r="M17" s="6">
        <f t="shared" si="0"/>
        <v>387</v>
      </c>
      <c r="N17" s="8">
        <f t="shared" si="5"/>
        <v>15</v>
      </c>
      <c r="O17" s="8">
        <f t="shared" si="1"/>
        <v>1</v>
      </c>
      <c r="P17" s="8">
        <f t="shared" si="1"/>
        <v>4</v>
      </c>
      <c r="Q17" s="8">
        <f t="shared" si="1"/>
        <v>14</v>
      </c>
      <c r="R17" s="8">
        <f t="shared" si="1"/>
        <v>0</v>
      </c>
      <c r="S17" s="6">
        <f t="shared" si="6"/>
        <v>13.5</v>
      </c>
      <c r="T17" s="6">
        <f t="shared" si="2"/>
        <v>0.9</v>
      </c>
      <c r="U17" s="6">
        <f t="shared" si="2"/>
        <v>3.6</v>
      </c>
      <c r="V17" s="6">
        <f t="shared" si="2"/>
        <v>12.6</v>
      </c>
      <c r="W17" s="6">
        <f t="shared" si="2"/>
        <v>0</v>
      </c>
      <c r="X17" s="6">
        <f t="shared" si="7"/>
        <v>553.5</v>
      </c>
      <c r="Y17" s="6">
        <f t="shared" si="3"/>
        <v>414.9</v>
      </c>
      <c r="Z17" s="6">
        <f t="shared" si="3"/>
        <v>444.6</v>
      </c>
      <c r="AA17" s="6">
        <f t="shared" si="3"/>
        <v>543.6</v>
      </c>
      <c r="AB17" s="6">
        <f t="shared" si="3"/>
        <v>387</v>
      </c>
      <c r="AC17" s="6">
        <f t="shared" si="8"/>
        <v>2343.6</v>
      </c>
      <c r="AD17" s="6"/>
      <c r="AE17" s="6"/>
      <c r="AF17" s="6"/>
      <c r="AG17" s="6"/>
    </row>
    <row r="18" spans="1:33" x14ac:dyDescent="0.25">
      <c r="A18" s="26" t="s">
        <v>122</v>
      </c>
      <c r="B18" s="26" t="s">
        <v>123</v>
      </c>
      <c r="C18" s="6">
        <v>8.44</v>
      </c>
      <c r="D18" s="26">
        <v>55</v>
      </c>
      <c r="E18">
        <v>52</v>
      </c>
      <c r="F18">
        <v>43</v>
      </c>
      <c r="G18">
        <v>43</v>
      </c>
      <c r="H18">
        <v>48</v>
      </c>
      <c r="I18" s="6">
        <f t="shared" si="4"/>
        <v>464.2</v>
      </c>
      <c r="J18" s="6">
        <f t="shared" si="0"/>
        <v>438.88</v>
      </c>
      <c r="K18" s="6">
        <f t="shared" si="0"/>
        <v>362.91999999999996</v>
      </c>
      <c r="L18" s="6">
        <f t="shared" si="0"/>
        <v>362.91999999999996</v>
      </c>
      <c r="M18" s="6">
        <f t="shared" si="0"/>
        <v>405.12</v>
      </c>
      <c r="N18" s="8">
        <f t="shared" si="5"/>
        <v>10</v>
      </c>
      <c r="O18" s="8">
        <f t="shared" si="1"/>
        <v>7</v>
      </c>
      <c r="P18" s="8">
        <f t="shared" si="1"/>
        <v>0</v>
      </c>
      <c r="Q18" s="8">
        <f t="shared" si="1"/>
        <v>0</v>
      </c>
      <c r="R18" s="8">
        <f t="shared" si="1"/>
        <v>3</v>
      </c>
      <c r="S18" s="6">
        <f t="shared" si="6"/>
        <v>8.44</v>
      </c>
      <c r="T18" s="6">
        <f t="shared" si="2"/>
        <v>5.9079999999999995</v>
      </c>
      <c r="U18" s="6">
        <f t="shared" si="2"/>
        <v>0</v>
      </c>
      <c r="V18" s="6">
        <f t="shared" si="2"/>
        <v>0</v>
      </c>
      <c r="W18" s="6">
        <f t="shared" si="2"/>
        <v>2.532</v>
      </c>
      <c r="X18" s="6">
        <f t="shared" si="7"/>
        <v>472.64</v>
      </c>
      <c r="Y18" s="6">
        <f t="shared" si="3"/>
        <v>444.78800000000001</v>
      </c>
      <c r="Z18" s="6">
        <f t="shared" si="3"/>
        <v>362.91999999999996</v>
      </c>
      <c r="AA18" s="6">
        <f t="shared" si="3"/>
        <v>362.91999999999996</v>
      </c>
      <c r="AB18" s="6">
        <f t="shared" si="3"/>
        <v>407.65199999999999</v>
      </c>
      <c r="AC18" s="6">
        <f t="shared" si="8"/>
        <v>2050.92</v>
      </c>
      <c r="AD18" s="6"/>
      <c r="AE18" s="6"/>
      <c r="AF18" s="6"/>
      <c r="AG18" s="6"/>
    </row>
    <row r="19" spans="1:33" x14ac:dyDescent="0.25">
      <c r="A19" s="26" t="s">
        <v>124</v>
      </c>
      <c r="B19" s="26" t="s">
        <v>125</v>
      </c>
      <c r="C19" s="6">
        <v>14.2</v>
      </c>
      <c r="D19" s="26">
        <v>46</v>
      </c>
      <c r="E19">
        <v>53</v>
      </c>
      <c r="F19">
        <v>60</v>
      </c>
      <c r="G19">
        <v>41</v>
      </c>
      <c r="H19">
        <v>57</v>
      </c>
      <c r="I19" s="6">
        <f t="shared" si="4"/>
        <v>653.19999999999993</v>
      </c>
      <c r="J19" s="6">
        <f t="shared" si="0"/>
        <v>752.59999999999991</v>
      </c>
      <c r="K19" s="6">
        <f t="shared" si="0"/>
        <v>852</v>
      </c>
      <c r="L19" s="6">
        <f t="shared" si="0"/>
        <v>582.19999999999993</v>
      </c>
      <c r="M19" s="6">
        <f t="shared" si="0"/>
        <v>809.4</v>
      </c>
      <c r="N19" s="8">
        <f t="shared" si="5"/>
        <v>1</v>
      </c>
      <c r="O19" s="8">
        <f t="shared" si="1"/>
        <v>8</v>
      </c>
      <c r="P19" s="8">
        <f t="shared" si="1"/>
        <v>15</v>
      </c>
      <c r="Q19" s="8">
        <f t="shared" si="1"/>
        <v>0</v>
      </c>
      <c r="R19" s="8">
        <f t="shared" si="1"/>
        <v>12</v>
      </c>
      <c r="S19" s="6">
        <f t="shared" si="6"/>
        <v>1.42</v>
      </c>
      <c r="T19" s="6">
        <f t="shared" si="2"/>
        <v>11.36</v>
      </c>
      <c r="U19" s="6">
        <f t="shared" si="2"/>
        <v>21.299999999999997</v>
      </c>
      <c r="V19" s="6">
        <f t="shared" si="2"/>
        <v>0</v>
      </c>
      <c r="W19" s="6">
        <f t="shared" si="2"/>
        <v>17.04</v>
      </c>
      <c r="X19" s="6">
        <f t="shared" si="7"/>
        <v>654.61999999999989</v>
      </c>
      <c r="Y19" s="6">
        <f t="shared" si="3"/>
        <v>763.95999999999992</v>
      </c>
      <c r="Z19" s="6">
        <f t="shared" si="3"/>
        <v>873.3</v>
      </c>
      <c r="AA19" s="6">
        <f t="shared" si="3"/>
        <v>582.19999999999993</v>
      </c>
      <c r="AB19" s="6">
        <f t="shared" si="3"/>
        <v>826.43999999999994</v>
      </c>
      <c r="AC19" s="6">
        <f t="shared" si="8"/>
        <v>3700.52</v>
      </c>
      <c r="AD19" s="6"/>
      <c r="AE19" s="6"/>
      <c r="AF19" s="6"/>
      <c r="AG19" s="6"/>
    </row>
    <row r="20" spans="1:33" x14ac:dyDescent="0.25">
      <c r="A20" s="26" t="s">
        <v>126</v>
      </c>
      <c r="B20" s="26" t="s">
        <v>127</v>
      </c>
      <c r="C20" s="6">
        <v>45</v>
      </c>
      <c r="D20" s="26">
        <v>39</v>
      </c>
      <c r="E20">
        <v>53</v>
      </c>
      <c r="F20">
        <v>58</v>
      </c>
      <c r="G20">
        <v>40</v>
      </c>
      <c r="H20">
        <v>54</v>
      </c>
      <c r="I20" s="6">
        <f t="shared" si="4"/>
        <v>1755</v>
      </c>
      <c r="J20" s="6">
        <f t="shared" si="0"/>
        <v>2385</v>
      </c>
      <c r="K20" s="6">
        <f t="shared" si="0"/>
        <v>2610</v>
      </c>
      <c r="L20" s="6">
        <f t="shared" si="0"/>
        <v>1800</v>
      </c>
      <c r="M20" s="6">
        <f t="shared" si="0"/>
        <v>2430</v>
      </c>
      <c r="N20" s="8">
        <f t="shared" si="5"/>
        <v>0</v>
      </c>
      <c r="O20" s="8">
        <f t="shared" si="1"/>
        <v>8</v>
      </c>
      <c r="P20" s="8">
        <f t="shared" si="1"/>
        <v>13</v>
      </c>
      <c r="Q20" s="8">
        <f t="shared" si="1"/>
        <v>0</v>
      </c>
      <c r="R20" s="8">
        <f t="shared" si="1"/>
        <v>9</v>
      </c>
      <c r="S20" s="6">
        <f t="shared" si="6"/>
        <v>0</v>
      </c>
      <c r="T20" s="6">
        <f t="shared" si="2"/>
        <v>36</v>
      </c>
      <c r="U20" s="6">
        <f t="shared" si="2"/>
        <v>58.5</v>
      </c>
      <c r="V20" s="6">
        <f t="shared" si="2"/>
        <v>0</v>
      </c>
      <c r="W20" s="6">
        <f t="shared" si="2"/>
        <v>40.5</v>
      </c>
      <c r="X20" s="6">
        <f t="shared" si="7"/>
        <v>1755</v>
      </c>
      <c r="Y20" s="6">
        <f t="shared" si="3"/>
        <v>2421</v>
      </c>
      <c r="Z20" s="6">
        <f t="shared" si="3"/>
        <v>2668.5</v>
      </c>
      <c r="AA20" s="6">
        <f t="shared" si="3"/>
        <v>1800</v>
      </c>
      <c r="AB20" s="6">
        <f t="shared" si="3"/>
        <v>2470.5</v>
      </c>
      <c r="AC20" s="6">
        <f t="shared" si="8"/>
        <v>11115</v>
      </c>
      <c r="AD20" s="6"/>
      <c r="AE20" s="6"/>
      <c r="AF20" s="6"/>
      <c r="AG20" s="6"/>
    </row>
    <row r="21" spans="1:33" x14ac:dyDescent="0.25">
      <c r="A21" s="26" t="s">
        <v>128</v>
      </c>
      <c r="B21" s="26" t="s">
        <v>129</v>
      </c>
      <c r="C21" s="6">
        <v>30</v>
      </c>
      <c r="D21" s="26">
        <v>44</v>
      </c>
      <c r="E21">
        <v>41</v>
      </c>
      <c r="F21">
        <v>60</v>
      </c>
      <c r="G21">
        <v>41</v>
      </c>
      <c r="H21">
        <v>44</v>
      </c>
      <c r="I21" s="6">
        <f t="shared" si="4"/>
        <v>1320</v>
      </c>
      <c r="J21" s="6">
        <f>$C21*E21</f>
        <v>1230</v>
      </c>
      <c r="K21" s="6">
        <f>$C21*F21</f>
        <v>1800</v>
      </c>
      <c r="L21" s="6">
        <f>$C21*G21</f>
        <v>1230</v>
      </c>
      <c r="M21" s="6">
        <f>$C21*H21</f>
        <v>1320</v>
      </c>
      <c r="N21" s="8">
        <f t="shared" si="5"/>
        <v>0</v>
      </c>
      <c r="O21" s="8">
        <f>IF(E21&gt;45,E21-45,0)</f>
        <v>0</v>
      </c>
      <c r="P21" s="8">
        <f>IF(F21&gt;45,F21-45,0)</f>
        <v>15</v>
      </c>
      <c r="Q21" s="8">
        <f>IF(G21&gt;45,G21-45,0)</f>
        <v>0</v>
      </c>
      <c r="R21" s="8">
        <f>IF(H21&gt;45,H21-45,0)</f>
        <v>0</v>
      </c>
      <c r="S21" s="6">
        <f t="shared" si="6"/>
        <v>0</v>
      </c>
      <c r="T21" s="6">
        <f>0.1*$C21*O21</f>
        <v>0</v>
      </c>
      <c r="U21" s="6">
        <f>0.1*$C21*P21</f>
        <v>45</v>
      </c>
      <c r="V21" s="6">
        <f>0.1*$C21*Q21</f>
        <v>0</v>
      </c>
      <c r="W21" s="6">
        <f>0.1*$C21*R21</f>
        <v>0</v>
      </c>
      <c r="X21" s="6">
        <f t="shared" si="7"/>
        <v>1320</v>
      </c>
      <c r="Y21" s="6">
        <f>SUM(J21+T21)</f>
        <v>1230</v>
      </c>
      <c r="Z21" s="6">
        <f>SUM(K21+U21)</f>
        <v>1845</v>
      </c>
      <c r="AA21" s="6">
        <f>SUM(L21+V21)</f>
        <v>1230</v>
      </c>
      <c r="AB21" s="6">
        <f>SUM(M21+W21)</f>
        <v>1320</v>
      </c>
      <c r="AC21" s="6">
        <f t="shared" si="8"/>
        <v>6945</v>
      </c>
      <c r="AD21" s="6"/>
      <c r="AE21" s="6"/>
      <c r="AF21" s="6"/>
      <c r="AG21" s="6"/>
    </row>
    <row r="23" spans="1:33" x14ac:dyDescent="0.25">
      <c r="B23" s="26" t="s">
        <v>130</v>
      </c>
      <c r="C23" s="25">
        <f>MAX(C5:C21)</f>
        <v>45</v>
      </c>
      <c r="D23" s="30">
        <f>MAX(D5:D21)</f>
        <v>60</v>
      </c>
    </row>
    <row r="24" spans="1:33" x14ac:dyDescent="0.25">
      <c r="B24" s="26" t="s">
        <v>131</v>
      </c>
      <c r="C24" s="25">
        <f>MIN(C5:C21)</f>
        <v>6.9</v>
      </c>
      <c r="D24" s="30">
        <f>MIN(D5:D21)</f>
        <v>39</v>
      </c>
    </row>
    <row r="25" spans="1:33" x14ac:dyDescent="0.25">
      <c r="B25" s="26" t="s">
        <v>132</v>
      </c>
      <c r="C25" s="25">
        <f>AVERAGE(C5:C21)</f>
        <v>16.484705882352941</v>
      </c>
      <c r="D25" s="31">
        <f>AVERAGE(D5:D21)</f>
        <v>47.411764705882355</v>
      </c>
    </row>
    <row r="26" spans="1:33" x14ac:dyDescent="0.25">
      <c r="B26" s="26" t="s">
        <v>133</v>
      </c>
      <c r="C26" s="25">
        <f>SUM(C5:C21)</f>
        <v>280.24</v>
      </c>
      <c r="D26" s="30">
        <f>SUM(D5:D21)</f>
        <v>806</v>
      </c>
    </row>
  </sheetData>
  <mergeCells count="1">
    <mergeCell ref="A1:B1"/>
  </mergeCells>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BF86-0488-4DCE-BD09-3B7B117ED083}">
  <dimension ref="A1:M20"/>
  <sheetViews>
    <sheetView topLeftCell="B1" workbookViewId="0">
      <selection activeCell="M4" sqref="M4"/>
    </sheetView>
  </sheetViews>
  <sheetFormatPr defaultRowHeight="15" x14ac:dyDescent="0.25"/>
  <cols>
    <col min="1" max="1" width="11.42578125" bestFit="1" customWidth="1"/>
    <col min="2" max="2" width="10.5703125" bestFit="1" customWidth="1"/>
    <col min="3" max="5" width="5.28515625" bestFit="1" customWidth="1"/>
    <col min="6" max="6" width="4.28515625" bestFit="1" customWidth="1"/>
    <col min="8" max="9" width="5.5703125" bestFit="1" customWidth="1"/>
    <col min="10" max="10" width="4.5703125" bestFit="1" customWidth="1"/>
    <col min="11" max="11" width="5.5703125" bestFit="1" customWidth="1"/>
    <col min="13" max="13" width="13.7109375" bestFit="1" customWidth="1"/>
    <col min="14" max="16" width="9.85546875" bestFit="1" customWidth="1"/>
  </cols>
  <sheetData>
    <row r="1" spans="1:13" x14ac:dyDescent="0.25">
      <c r="A1" t="s">
        <v>167</v>
      </c>
    </row>
    <row r="2" spans="1:13" ht="106.5" x14ac:dyDescent="0.25">
      <c r="C2" s="27" t="s">
        <v>163</v>
      </c>
      <c r="D2" s="27" t="s">
        <v>164</v>
      </c>
      <c r="E2" s="27" t="s">
        <v>165</v>
      </c>
      <c r="F2" s="27" t="s">
        <v>166</v>
      </c>
      <c r="G2" s="27"/>
      <c r="H2" s="27" t="s">
        <v>163</v>
      </c>
      <c r="I2" s="27" t="s">
        <v>164</v>
      </c>
      <c r="J2" s="27" t="s">
        <v>165</v>
      </c>
      <c r="K2" s="27" t="s">
        <v>166</v>
      </c>
      <c r="M2" s="27" t="s">
        <v>168</v>
      </c>
    </row>
    <row r="3" spans="1:13" x14ac:dyDescent="0.25">
      <c r="A3" s="24" t="s">
        <v>93</v>
      </c>
      <c r="B3" s="24" t="s">
        <v>94</v>
      </c>
      <c r="C3">
        <v>10</v>
      </c>
      <c r="D3">
        <v>20</v>
      </c>
      <c r="E3">
        <v>100</v>
      </c>
      <c r="F3">
        <v>1</v>
      </c>
      <c r="M3" s="28"/>
    </row>
    <row r="4" spans="1:13" x14ac:dyDescent="0.25">
      <c r="A4" s="11" t="s">
        <v>96</v>
      </c>
      <c r="B4" s="11" t="s">
        <v>97</v>
      </c>
      <c r="C4">
        <v>9</v>
      </c>
      <c r="D4">
        <v>15</v>
      </c>
      <c r="E4">
        <v>76</v>
      </c>
      <c r="F4">
        <v>1</v>
      </c>
      <c r="H4" s="28">
        <f>C4/C$3</f>
        <v>0.9</v>
      </c>
      <c r="I4" s="28">
        <f t="shared" ref="I4:K20" si="0">D4/D$3</f>
        <v>0.75</v>
      </c>
      <c r="J4" s="28">
        <f t="shared" si="0"/>
        <v>0.76</v>
      </c>
      <c r="K4" s="28">
        <f t="shared" si="0"/>
        <v>1</v>
      </c>
      <c r="M4" s="29" t="str">
        <f>IF(AND(H4&gt;=70%,I4&gt;=70%,J4&gt;=70%,K4&gt;=70%),"Employed","Not Employed")</f>
        <v>Employed</v>
      </c>
    </row>
    <row r="5" spans="1:13" x14ac:dyDescent="0.25">
      <c r="A5" s="11" t="s">
        <v>98</v>
      </c>
      <c r="B5" s="11" t="s">
        <v>99</v>
      </c>
      <c r="C5">
        <v>5</v>
      </c>
      <c r="D5">
        <v>18</v>
      </c>
      <c r="E5">
        <v>69</v>
      </c>
      <c r="F5">
        <v>1</v>
      </c>
      <c r="H5" s="28">
        <f t="shared" ref="H5:H20" si="1">C5/C$3</f>
        <v>0.5</v>
      </c>
      <c r="I5" s="28">
        <f t="shared" si="0"/>
        <v>0.9</v>
      </c>
      <c r="J5" s="28">
        <f t="shared" si="0"/>
        <v>0.69</v>
      </c>
      <c r="K5" s="28">
        <f t="shared" si="0"/>
        <v>1</v>
      </c>
      <c r="M5" s="29" t="str">
        <f t="shared" ref="M5:M20" si="2">IF(AND(H5&gt;=70%,I5&gt;=70%,J5&gt;=70%,K5&gt;=70%),"Employed","Not Employed")</f>
        <v>Not Employed</v>
      </c>
    </row>
    <row r="6" spans="1:13" x14ac:dyDescent="0.25">
      <c r="A6" s="11" t="s">
        <v>100</v>
      </c>
      <c r="B6" s="11" t="s">
        <v>101</v>
      </c>
      <c r="C6">
        <v>7</v>
      </c>
      <c r="D6">
        <v>17</v>
      </c>
      <c r="E6">
        <v>59</v>
      </c>
      <c r="F6">
        <v>1</v>
      </c>
      <c r="H6" s="28">
        <f t="shared" si="1"/>
        <v>0.7</v>
      </c>
      <c r="I6" s="28">
        <f t="shared" si="0"/>
        <v>0.85</v>
      </c>
      <c r="J6" s="28">
        <f t="shared" si="0"/>
        <v>0.59</v>
      </c>
      <c r="K6" s="28">
        <f t="shared" si="0"/>
        <v>1</v>
      </c>
      <c r="M6" s="29" t="str">
        <f t="shared" si="2"/>
        <v>Not Employed</v>
      </c>
    </row>
    <row r="7" spans="1:13" x14ac:dyDescent="0.25">
      <c r="A7" s="11" t="s">
        <v>102</v>
      </c>
      <c r="B7" s="11" t="s">
        <v>103</v>
      </c>
      <c r="C7">
        <v>8</v>
      </c>
      <c r="D7">
        <v>19</v>
      </c>
      <c r="E7">
        <v>88</v>
      </c>
      <c r="F7">
        <v>1</v>
      </c>
      <c r="H7" s="28">
        <f t="shared" si="1"/>
        <v>0.8</v>
      </c>
      <c r="I7" s="28">
        <f t="shared" si="0"/>
        <v>0.95</v>
      </c>
      <c r="J7" s="28">
        <f t="shared" si="0"/>
        <v>0.88</v>
      </c>
      <c r="K7" s="28">
        <f t="shared" si="0"/>
        <v>1</v>
      </c>
      <c r="M7" s="29" t="str">
        <f t="shared" si="2"/>
        <v>Employed</v>
      </c>
    </row>
    <row r="8" spans="1:13" x14ac:dyDescent="0.25">
      <c r="A8" s="11" t="s">
        <v>104</v>
      </c>
      <c r="B8" s="11" t="s">
        <v>105</v>
      </c>
      <c r="C8">
        <v>5</v>
      </c>
      <c r="D8">
        <v>14</v>
      </c>
      <c r="E8">
        <v>75</v>
      </c>
      <c r="F8">
        <v>1</v>
      </c>
      <c r="H8" s="28">
        <f t="shared" si="1"/>
        <v>0.5</v>
      </c>
      <c r="I8" s="28">
        <f t="shared" si="0"/>
        <v>0.7</v>
      </c>
      <c r="J8" s="28">
        <f t="shared" si="0"/>
        <v>0.75</v>
      </c>
      <c r="K8" s="28">
        <f t="shared" si="0"/>
        <v>1</v>
      </c>
      <c r="M8" s="29" t="str">
        <f t="shared" si="2"/>
        <v>Not Employed</v>
      </c>
    </row>
    <row r="9" spans="1:13" x14ac:dyDescent="0.25">
      <c r="A9" s="11" t="s">
        <v>106</v>
      </c>
      <c r="B9" s="11" t="s">
        <v>107</v>
      </c>
      <c r="C9">
        <v>6</v>
      </c>
      <c r="D9">
        <v>18</v>
      </c>
      <c r="E9">
        <v>85</v>
      </c>
      <c r="F9">
        <v>1</v>
      </c>
      <c r="H9" s="28">
        <f t="shared" si="1"/>
        <v>0.6</v>
      </c>
      <c r="I9" s="28">
        <f t="shared" si="0"/>
        <v>0.9</v>
      </c>
      <c r="J9" s="28">
        <f t="shared" si="0"/>
        <v>0.85</v>
      </c>
      <c r="K9" s="28">
        <f t="shared" si="0"/>
        <v>1</v>
      </c>
      <c r="M9" s="29" t="str">
        <f t="shared" si="2"/>
        <v>Not Employed</v>
      </c>
    </row>
    <row r="10" spans="1:13" x14ac:dyDescent="0.25">
      <c r="A10" s="11" t="s">
        <v>108</v>
      </c>
      <c r="B10" s="11" t="s">
        <v>109</v>
      </c>
      <c r="C10">
        <v>8</v>
      </c>
      <c r="D10">
        <v>14</v>
      </c>
      <c r="E10">
        <v>90</v>
      </c>
      <c r="F10">
        <v>0</v>
      </c>
      <c r="H10" s="28">
        <f t="shared" si="1"/>
        <v>0.8</v>
      </c>
      <c r="I10" s="28">
        <f t="shared" si="0"/>
        <v>0.7</v>
      </c>
      <c r="J10" s="28">
        <f t="shared" si="0"/>
        <v>0.9</v>
      </c>
      <c r="K10" s="28">
        <f t="shared" si="0"/>
        <v>0</v>
      </c>
      <c r="M10" s="29" t="str">
        <f t="shared" si="2"/>
        <v>Not Employed</v>
      </c>
    </row>
    <row r="11" spans="1:13" x14ac:dyDescent="0.25">
      <c r="A11" s="11" t="s">
        <v>110</v>
      </c>
      <c r="B11" s="11" t="s">
        <v>111</v>
      </c>
      <c r="C11">
        <v>9</v>
      </c>
      <c r="D11">
        <v>18</v>
      </c>
      <c r="E11">
        <v>75</v>
      </c>
      <c r="F11">
        <v>1</v>
      </c>
      <c r="H11" s="28">
        <f t="shared" si="1"/>
        <v>0.9</v>
      </c>
      <c r="I11" s="28">
        <f t="shared" si="0"/>
        <v>0.9</v>
      </c>
      <c r="J11" s="28">
        <f t="shared" si="0"/>
        <v>0.75</v>
      </c>
      <c r="K11" s="28">
        <f t="shared" si="0"/>
        <v>1</v>
      </c>
      <c r="M11" s="29" t="str">
        <f t="shared" si="2"/>
        <v>Employed</v>
      </c>
    </row>
    <row r="12" spans="1:13" x14ac:dyDescent="0.25">
      <c r="A12" s="11" t="s">
        <v>112</v>
      </c>
      <c r="B12" s="11" t="s">
        <v>113</v>
      </c>
      <c r="C12">
        <v>6</v>
      </c>
      <c r="D12">
        <v>17</v>
      </c>
      <c r="E12">
        <v>47</v>
      </c>
      <c r="F12">
        <v>1</v>
      </c>
      <c r="H12" s="28">
        <f t="shared" si="1"/>
        <v>0.6</v>
      </c>
      <c r="I12" s="28">
        <f t="shared" si="0"/>
        <v>0.85</v>
      </c>
      <c r="J12" s="28">
        <f t="shared" si="0"/>
        <v>0.47</v>
      </c>
      <c r="K12" s="28">
        <f t="shared" si="0"/>
        <v>1</v>
      </c>
      <c r="M12" s="29" t="str">
        <f t="shared" si="2"/>
        <v>Not Employed</v>
      </c>
    </row>
    <row r="13" spans="1:13" x14ac:dyDescent="0.25">
      <c r="A13" s="11" t="s">
        <v>114</v>
      </c>
      <c r="B13" s="11" t="s">
        <v>115</v>
      </c>
      <c r="C13">
        <v>7</v>
      </c>
      <c r="D13">
        <v>20</v>
      </c>
      <c r="E13">
        <v>87</v>
      </c>
      <c r="F13">
        <v>1</v>
      </c>
      <c r="H13" s="28">
        <f t="shared" si="1"/>
        <v>0.7</v>
      </c>
      <c r="I13" s="28">
        <f t="shared" si="0"/>
        <v>1</v>
      </c>
      <c r="J13" s="28">
        <f t="shared" si="0"/>
        <v>0.87</v>
      </c>
      <c r="K13" s="28">
        <f t="shared" si="0"/>
        <v>1</v>
      </c>
      <c r="M13" s="29" t="str">
        <f t="shared" si="2"/>
        <v>Employed</v>
      </c>
    </row>
    <row r="14" spans="1:13" x14ac:dyDescent="0.25">
      <c r="A14" s="11" t="s">
        <v>116</v>
      </c>
      <c r="B14" s="11" t="s">
        <v>117</v>
      </c>
      <c r="C14">
        <v>8</v>
      </c>
      <c r="D14">
        <v>20</v>
      </c>
      <c r="E14">
        <v>77</v>
      </c>
      <c r="F14">
        <v>0</v>
      </c>
      <c r="H14" s="28">
        <f t="shared" si="1"/>
        <v>0.8</v>
      </c>
      <c r="I14" s="28">
        <f t="shared" si="0"/>
        <v>1</v>
      </c>
      <c r="J14" s="28">
        <f t="shared" si="0"/>
        <v>0.77</v>
      </c>
      <c r="K14" s="28">
        <f t="shared" si="0"/>
        <v>0</v>
      </c>
      <c r="M14" s="29" t="str">
        <f t="shared" si="2"/>
        <v>Not Employed</v>
      </c>
    </row>
    <row r="15" spans="1:13" x14ac:dyDescent="0.25">
      <c r="A15" s="11" t="s">
        <v>118</v>
      </c>
      <c r="B15" s="11" t="s">
        <v>119</v>
      </c>
      <c r="C15">
        <v>6</v>
      </c>
      <c r="D15">
        <v>16</v>
      </c>
      <c r="E15">
        <v>99</v>
      </c>
      <c r="F15">
        <v>0</v>
      </c>
      <c r="H15" s="28">
        <f t="shared" si="1"/>
        <v>0.6</v>
      </c>
      <c r="I15" s="28">
        <f t="shared" si="0"/>
        <v>0.8</v>
      </c>
      <c r="J15" s="28">
        <f t="shared" si="0"/>
        <v>0.99</v>
      </c>
      <c r="K15" s="28">
        <f t="shared" si="0"/>
        <v>0</v>
      </c>
      <c r="M15" s="29" t="str">
        <f t="shared" si="2"/>
        <v>Not Employed</v>
      </c>
    </row>
    <row r="16" spans="1:13" x14ac:dyDescent="0.25">
      <c r="A16" s="11" t="s">
        <v>120</v>
      </c>
      <c r="B16" s="11" t="s">
        <v>121</v>
      </c>
      <c r="C16">
        <v>10</v>
      </c>
      <c r="D16">
        <v>13</v>
      </c>
      <c r="E16">
        <v>67</v>
      </c>
      <c r="F16">
        <v>1</v>
      </c>
      <c r="H16" s="28">
        <f t="shared" si="1"/>
        <v>1</v>
      </c>
      <c r="I16" s="28">
        <f t="shared" si="0"/>
        <v>0.65</v>
      </c>
      <c r="J16" s="28">
        <f t="shared" si="0"/>
        <v>0.67</v>
      </c>
      <c r="K16" s="28">
        <f t="shared" si="0"/>
        <v>1</v>
      </c>
      <c r="M16" s="29" t="str">
        <f t="shared" si="2"/>
        <v>Not Employed</v>
      </c>
    </row>
    <row r="17" spans="1:13" x14ac:dyDescent="0.25">
      <c r="A17" s="11" t="s">
        <v>122</v>
      </c>
      <c r="B17" s="11" t="s">
        <v>123</v>
      </c>
      <c r="C17">
        <v>5</v>
      </c>
      <c r="D17">
        <v>18</v>
      </c>
      <c r="E17">
        <v>87</v>
      </c>
      <c r="F17">
        <v>1</v>
      </c>
      <c r="H17" s="28">
        <f t="shared" si="1"/>
        <v>0.5</v>
      </c>
      <c r="I17" s="28">
        <f t="shared" si="0"/>
        <v>0.9</v>
      </c>
      <c r="J17" s="28">
        <f t="shared" si="0"/>
        <v>0.87</v>
      </c>
      <c r="K17" s="28">
        <f t="shared" si="0"/>
        <v>1</v>
      </c>
      <c r="M17" s="29" t="str">
        <f t="shared" si="2"/>
        <v>Not Employed</v>
      </c>
    </row>
    <row r="18" spans="1:13" x14ac:dyDescent="0.25">
      <c r="A18" s="11" t="s">
        <v>124</v>
      </c>
      <c r="B18" s="11" t="s">
        <v>125</v>
      </c>
      <c r="C18">
        <v>9</v>
      </c>
      <c r="D18">
        <v>18</v>
      </c>
      <c r="E18">
        <v>93</v>
      </c>
      <c r="F18">
        <v>1</v>
      </c>
      <c r="H18" s="28">
        <f t="shared" si="1"/>
        <v>0.9</v>
      </c>
      <c r="I18" s="28">
        <f t="shared" si="0"/>
        <v>0.9</v>
      </c>
      <c r="J18" s="28">
        <f t="shared" si="0"/>
        <v>0.93</v>
      </c>
      <c r="K18" s="28">
        <f t="shared" si="0"/>
        <v>1</v>
      </c>
      <c r="M18" s="29" t="str">
        <f t="shared" si="2"/>
        <v>Employed</v>
      </c>
    </row>
    <row r="19" spans="1:13" x14ac:dyDescent="0.25">
      <c r="A19" s="11" t="s">
        <v>126</v>
      </c>
      <c r="B19" s="11" t="s">
        <v>127</v>
      </c>
      <c r="C19">
        <v>7</v>
      </c>
      <c r="D19">
        <v>15</v>
      </c>
      <c r="E19">
        <v>71</v>
      </c>
      <c r="F19">
        <v>1</v>
      </c>
      <c r="H19" s="28">
        <f t="shared" si="1"/>
        <v>0.7</v>
      </c>
      <c r="I19" s="28">
        <f t="shared" si="0"/>
        <v>0.75</v>
      </c>
      <c r="J19" s="28">
        <f t="shared" si="0"/>
        <v>0.71</v>
      </c>
      <c r="K19" s="28">
        <f t="shared" si="0"/>
        <v>1</v>
      </c>
      <c r="M19" s="29" t="str">
        <f t="shared" si="2"/>
        <v>Employed</v>
      </c>
    </row>
    <row r="20" spans="1:13" x14ac:dyDescent="0.25">
      <c r="A20" s="11" t="s">
        <v>128</v>
      </c>
      <c r="B20" s="11" t="s">
        <v>129</v>
      </c>
      <c r="C20">
        <v>9</v>
      </c>
      <c r="D20">
        <v>16</v>
      </c>
      <c r="E20">
        <v>81</v>
      </c>
      <c r="F20">
        <v>1</v>
      </c>
      <c r="H20" s="28">
        <f t="shared" si="1"/>
        <v>0.9</v>
      </c>
      <c r="I20" s="28">
        <f t="shared" si="0"/>
        <v>0.8</v>
      </c>
      <c r="J20" s="28">
        <f t="shared" si="0"/>
        <v>0.81</v>
      </c>
      <c r="K20" s="28">
        <f t="shared" si="0"/>
        <v>1</v>
      </c>
      <c r="M20" s="29" t="str">
        <f t="shared" si="2"/>
        <v>Employed</v>
      </c>
    </row>
  </sheetData>
  <conditionalFormatting sqref="C4:C20">
    <cfRule type="iconSet" priority="6">
      <iconSet>
        <cfvo type="percent" val="0"/>
        <cfvo type="percent" val="33"/>
        <cfvo type="percent" val="67"/>
      </iconSet>
    </cfRule>
  </conditionalFormatting>
  <conditionalFormatting sqref="D4:D20">
    <cfRule type="iconSet" priority="5">
      <iconSet>
        <cfvo type="percent" val="0"/>
        <cfvo type="percent" val="33"/>
        <cfvo type="percent" val="67"/>
      </iconSet>
    </cfRule>
  </conditionalFormatting>
  <conditionalFormatting sqref="E4:E20">
    <cfRule type="iconSet" priority="4">
      <iconSet>
        <cfvo type="percent" val="0"/>
        <cfvo type="percent" val="33"/>
        <cfvo type="percent" val="67"/>
      </iconSet>
    </cfRule>
  </conditionalFormatting>
  <conditionalFormatting sqref="F4:F20">
    <cfRule type="iconSet" priority="3">
      <iconSet>
        <cfvo type="percent" val="0"/>
        <cfvo type="percent" val="33"/>
        <cfvo type="percent" val="67"/>
      </iconSet>
    </cfRule>
  </conditionalFormatting>
  <conditionalFormatting sqref="H4:K20">
    <cfRule type="cellIs" dxfId="30" priority="1" operator="greaterThan">
      <formula>0.69</formula>
    </cfRule>
    <cfRule type="cellIs" dxfId="29" priority="2" operator="greaterThan">
      <formula>69</formula>
    </cfRule>
  </conditionalFormatting>
  <pageMargins left="0.7" right="0.7" top="0.75" bottom="0.75"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04BE6-FCCE-4AAD-8F1D-E1A5850F54CD}">
  <dimension ref="A1:J15"/>
  <sheetViews>
    <sheetView workbookViewId="0">
      <selection activeCell="B4" sqref="B4"/>
    </sheetView>
  </sheetViews>
  <sheetFormatPr defaultRowHeight="15" x14ac:dyDescent="0.25"/>
  <cols>
    <col min="1" max="1" width="3.7109375" bestFit="1" customWidth="1"/>
    <col min="2" max="2" width="3" bestFit="1" customWidth="1"/>
  </cols>
  <sheetData>
    <row r="1" spans="1:10" s="33" customFormat="1" x14ac:dyDescent="0.25">
      <c r="A1" s="82" t="s">
        <v>200</v>
      </c>
      <c r="B1" s="82"/>
      <c r="C1" s="82"/>
      <c r="D1" s="82"/>
      <c r="E1" s="82"/>
      <c r="F1" s="82"/>
      <c r="G1" s="82"/>
      <c r="H1" s="82"/>
      <c r="I1" s="82"/>
      <c r="J1" s="82"/>
    </row>
    <row r="2" spans="1:10" s="33" customFormat="1" ht="15.75" thickBot="1" x14ac:dyDescent="0.3">
      <c r="A2" s="27"/>
      <c r="C2"/>
    </row>
    <row r="3" spans="1:10" x14ac:dyDescent="0.25">
      <c r="A3" s="34" t="s">
        <v>198</v>
      </c>
      <c r="B3" s="36" t="s">
        <v>199</v>
      </c>
    </row>
    <row r="4" spans="1:10" x14ac:dyDescent="0.25">
      <c r="A4" s="37">
        <v>-4</v>
      </c>
      <c r="B4" s="38">
        <f>(A4^2)+(2*A4)+4</f>
        <v>12</v>
      </c>
    </row>
    <row r="5" spans="1:10" x14ac:dyDescent="0.25">
      <c r="A5" s="37">
        <f>A4+1</f>
        <v>-3</v>
      </c>
      <c r="B5" s="38">
        <f t="shared" ref="B5:B12" si="0">(A5^2)+(2*A5)+4</f>
        <v>7</v>
      </c>
    </row>
    <row r="6" spans="1:10" x14ac:dyDescent="0.25">
      <c r="A6" s="37">
        <f t="shared" ref="A6:A12" si="1">A5+1</f>
        <v>-2</v>
      </c>
      <c r="B6" s="38">
        <f t="shared" si="0"/>
        <v>4</v>
      </c>
    </row>
    <row r="7" spans="1:10" x14ac:dyDescent="0.25">
      <c r="A7" s="37">
        <f t="shared" si="1"/>
        <v>-1</v>
      </c>
      <c r="B7" s="38">
        <f t="shared" si="0"/>
        <v>3</v>
      </c>
    </row>
    <row r="8" spans="1:10" x14ac:dyDescent="0.25">
      <c r="A8" s="37">
        <f t="shared" si="1"/>
        <v>0</v>
      </c>
      <c r="B8" s="38">
        <f t="shared" si="0"/>
        <v>4</v>
      </c>
    </row>
    <row r="9" spans="1:10" x14ac:dyDescent="0.25">
      <c r="A9" s="37">
        <f t="shared" si="1"/>
        <v>1</v>
      </c>
      <c r="B9" s="38">
        <f t="shared" si="0"/>
        <v>7</v>
      </c>
    </row>
    <row r="10" spans="1:10" x14ac:dyDescent="0.25">
      <c r="A10" s="37">
        <f t="shared" si="1"/>
        <v>2</v>
      </c>
      <c r="B10" s="38">
        <f t="shared" si="0"/>
        <v>12</v>
      </c>
    </row>
    <row r="11" spans="1:10" x14ac:dyDescent="0.25">
      <c r="A11" s="37">
        <f t="shared" si="1"/>
        <v>3</v>
      </c>
      <c r="B11" s="38">
        <f t="shared" si="0"/>
        <v>19</v>
      </c>
    </row>
    <row r="12" spans="1:10" ht="15.75" thickBot="1" x14ac:dyDescent="0.3">
      <c r="A12" s="39">
        <f t="shared" si="1"/>
        <v>4</v>
      </c>
      <c r="B12" s="41">
        <f t="shared" si="0"/>
        <v>28</v>
      </c>
    </row>
    <row r="13" spans="1:10" x14ac:dyDescent="0.25">
      <c r="A13" s="33"/>
    </row>
    <row r="14" spans="1:10" x14ac:dyDescent="0.25">
      <c r="A14" s="33"/>
    </row>
    <row r="15" spans="1:10" x14ac:dyDescent="0.25">
      <c r="A15" s="33"/>
    </row>
  </sheetData>
  <mergeCells count="1">
    <mergeCell ref="A1:J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B0BD-7123-4450-9853-02E16BC58EF6}">
  <dimension ref="A1:AA21"/>
  <sheetViews>
    <sheetView topLeftCell="M1" workbookViewId="0">
      <selection activeCell="O5" sqref="O5"/>
    </sheetView>
  </sheetViews>
  <sheetFormatPr defaultRowHeight="15" x14ac:dyDescent="0.25"/>
  <cols>
    <col min="1" max="1" width="11.42578125" bestFit="1" customWidth="1"/>
    <col min="2" max="2" width="10.5703125" bestFit="1" customWidth="1"/>
    <col min="3" max="3" width="7.5703125" bestFit="1" customWidth="1"/>
    <col min="4" max="4" width="5.5703125" bestFit="1" customWidth="1"/>
    <col min="5" max="5" width="4.140625" bestFit="1" customWidth="1"/>
    <col min="6" max="6" width="4.5703125" bestFit="1" customWidth="1"/>
    <col min="7" max="7" width="4.28515625" bestFit="1" customWidth="1"/>
    <col min="8" max="8" width="3.85546875" style="32" bestFit="1" customWidth="1"/>
    <col min="9" max="9" width="6.140625" bestFit="1" customWidth="1"/>
    <col min="10" max="10" width="5.140625" bestFit="1" customWidth="1"/>
    <col min="11" max="11" width="5.42578125" bestFit="1" customWidth="1"/>
    <col min="12" max="12" width="8.28515625" bestFit="1" customWidth="1"/>
    <col min="13" max="13" width="6.28515625" bestFit="1" customWidth="1"/>
    <col min="14" max="14" width="8.28515625" bestFit="1" customWidth="1"/>
    <col min="15" max="15" width="13.85546875" bestFit="1" customWidth="1"/>
    <col min="19" max="19" width="13.85546875" bestFit="1" customWidth="1"/>
    <col min="22" max="23" width="13.85546875" bestFit="1" customWidth="1"/>
    <col min="27" max="27" width="13.85546875" bestFit="1" customWidth="1"/>
  </cols>
  <sheetData>
    <row r="1" spans="1:27" x14ac:dyDescent="0.25">
      <c r="A1" s="83" t="s">
        <v>201</v>
      </c>
      <c r="B1" s="82"/>
      <c r="C1" s="82"/>
    </row>
    <row r="2" spans="1:27" ht="15.75" thickBot="1" x14ac:dyDescent="0.3"/>
    <row r="3" spans="1:27" x14ac:dyDescent="0.25">
      <c r="A3" s="24" t="s">
        <v>93</v>
      </c>
      <c r="B3" s="24" t="s">
        <v>94</v>
      </c>
      <c r="C3" s="24" t="s">
        <v>171</v>
      </c>
      <c r="D3" s="24" t="s">
        <v>64</v>
      </c>
      <c r="E3" s="24" t="s">
        <v>174</v>
      </c>
      <c r="F3" s="24" t="s">
        <v>175</v>
      </c>
      <c r="G3" s="24" t="s">
        <v>176</v>
      </c>
      <c r="H3" s="24" t="s">
        <v>179</v>
      </c>
      <c r="I3" s="24" t="s">
        <v>178</v>
      </c>
      <c r="J3" s="24" t="s">
        <v>177</v>
      </c>
      <c r="K3" s="24" t="s">
        <v>133</v>
      </c>
      <c r="L3" s="24" t="s">
        <v>132</v>
      </c>
      <c r="M3" s="24" t="s">
        <v>180</v>
      </c>
      <c r="N3" s="24" t="s">
        <v>181</v>
      </c>
      <c r="O3" s="24" t="s">
        <v>182</v>
      </c>
      <c r="Q3" s="34" t="s">
        <v>183</v>
      </c>
      <c r="R3" s="35" t="s">
        <v>180</v>
      </c>
      <c r="S3" s="36" t="s">
        <v>182</v>
      </c>
      <c r="V3" s="34" t="s">
        <v>180</v>
      </c>
      <c r="W3" s="36" t="s">
        <v>182</v>
      </c>
      <c r="Z3" t="s">
        <v>180</v>
      </c>
      <c r="AA3" t="s">
        <v>181</v>
      </c>
    </row>
    <row r="4" spans="1:27" x14ac:dyDescent="0.25">
      <c r="A4" s="32" t="s">
        <v>96</v>
      </c>
      <c r="B4" s="32" t="s">
        <v>97</v>
      </c>
      <c r="C4" t="s">
        <v>172</v>
      </c>
      <c r="D4">
        <v>56</v>
      </c>
      <c r="E4">
        <v>45</v>
      </c>
      <c r="F4">
        <v>48</v>
      </c>
      <c r="G4">
        <v>85</v>
      </c>
      <c r="H4" s="32">
        <v>48</v>
      </c>
      <c r="I4" s="32">
        <v>45</v>
      </c>
      <c r="J4" s="32">
        <v>56</v>
      </c>
      <c r="K4">
        <f>SUM(D4+E4+F4+G4+H4+I4+J4)</f>
        <v>383</v>
      </c>
      <c r="L4" s="9">
        <f>(ROUNDUP(AVERAGE(D4:J4),1))</f>
        <v>54.800000000000004</v>
      </c>
      <c r="M4" t="str" cm="1">
        <f t="array" ref="M4">_xlfn.IFS(L4&gt;=70,"A",L4&gt;=60,"B",L4&gt;=50,"C",L4&gt;=40,"D",L4&gt;=30,"E",L4&gt;=0,"F")</f>
        <v>C</v>
      </c>
      <c r="N4">
        <f>RANK(L4,$L$4:$L$20)</f>
        <v>16</v>
      </c>
      <c r="O4" t="str">
        <f>VLOOKUP(L4,$V$4:$W$9,2,TRUE)</f>
        <v>SMARTWATCH</v>
      </c>
      <c r="Q4" s="37" t="s">
        <v>184</v>
      </c>
      <c r="R4" s="2" t="s">
        <v>65</v>
      </c>
      <c r="S4" s="38" t="s">
        <v>192</v>
      </c>
      <c r="V4" s="37">
        <v>0</v>
      </c>
      <c r="W4" s="38" t="s">
        <v>197</v>
      </c>
      <c r="Z4" t="str" cm="1">
        <f t="array" ref="Z4:AA4">VLOOKUP(L4,$T$15:$V$21,{2,3},TRUE)</f>
        <v>C</v>
      </c>
      <c r="AA4" t="str">
        <v>SMARTWATCH</v>
      </c>
    </row>
    <row r="5" spans="1:27" x14ac:dyDescent="0.25">
      <c r="A5" s="32" t="s">
        <v>98</v>
      </c>
      <c r="B5" s="32" t="s">
        <v>99</v>
      </c>
      <c r="C5" t="s">
        <v>173</v>
      </c>
      <c r="D5">
        <v>76</v>
      </c>
      <c r="E5">
        <v>36</v>
      </c>
      <c r="F5">
        <v>54</v>
      </c>
      <c r="G5">
        <v>63</v>
      </c>
      <c r="H5" s="32">
        <v>54</v>
      </c>
      <c r="I5" s="32">
        <v>36</v>
      </c>
      <c r="J5" s="32">
        <v>76</v>
      </c>
      <c r="K5" s="32">
        <f t="shared" ref="K5:K20" si="0">SUM(D5+E5+F5+G5+H5+I5+J5)</f>
        <v>395</v>
      </c>
      <c r="L5" s="9">
        <f t="shared" ref="L5:L20" si="1">(ROUNDUP(AVERAGE(D5:J5),1))</f>
        <v>56.5</v>
      </c>
      <c r="M5" s="32" t="str" cm="1">
        <f t="array" ref="M5">_xlfn.IFS(L5&gt;=70,"A",L5&gt;=60,"B",L5&gt;=50,"C",L5&gt;=40,"D",L5&gt;=30,"E",L5&gt;=0,"F")</f>
        <v>C</v>
      </c>
      <c r="N5" s="32">
        <f t="shared" ref="N5:N20" si="2">RANK(L5,$L$4:$L$20)</f>
        <v>14</v>
      </c>
      <c r="O5" s="32" t="str">
        <f t="shared" ref="O5:O20" si="3">VLOOKUP(L5,$V$4:$W$9,2,TRUE)</f>
        <v>SMARTWATCH</v>
      </c>
      <c r="Q5" s="37" t="s">
        <v>185</v>
      </c>
      <c r="R5" s="2" t="s">
        <v>68</v>
      </c>
      <c r="S5" s="38" t="s">
        <v>193</v>
      </c>
      <c r="V5" s="37">
        <v>30</v>
      </c>
      <c r="W5" s="38" t="s">
        <v>196</v>
      </c>
      <c r="Z5" s="32" t="str" cm="1">
        <f t="array" ref="Z5:AA5">VLOOKUP(L5,$T$15:$V$21,{2,3},TRUE)</f>
        <v>C</v>
      </c>
      <c r="AA5" s="32" t="str">
        <v>SMARTWATCH</v>
      </c>
    </row>
    <row r="6" spans="1:27" x14ac:dyDescent="0.25">
      <c r="A6" s="32" t="s">
        <v>100</v>
      </c>
      <c r="B6" s="32" t="s">
        <v>101</v>
      </c>
      <c r="C6" t="s">
        <v>172</v>
      </c>
      <c r="D6">
        <v>94</v>
      </c>
      <c r="E6">
        <v>87</v>
      </c>
      <c r="F6">
        <v>58</v>
      </c>
      <c r="G6">
        <v>86</v>
      </c>
      <c r="H6" s="32">
        <v>58</v>
      </c>
      <c r="I6" s="32">
        <v>87</v>
      </c>
      <c r="J6" s="32">
        <v>94</v>
      </c>
      <c r="K6" s="32">
        <f t="shared" si="0"/>
        <v>564</v>
      </c>
      <c r="L6" s="9">
        <f t="shared" si="1"/>
        <v>80.599999999999994</v>
      </c>
      <c r="M6" s="32" t="str" cm="1">
        <f t="array" ref="M6">_xlfn.IFS(L6&gt;=70,"A",L6&gt;=60,"B",L6&gt;=50,"C",L6&gt;=40,"D",L6&gt;=30,"E",L6&gt;=0,"F")</f>
        <v>A</v>
      </c>
      <c r="N6" s="32">
        <f t="shared" si="2"/>
        <v>4</v>
      </c>
      <c r="O6" s="32" t="str">
        <f t="shared" si="3"/>
        <v>LAPTOP</v>
      </c>
      <c r="Q6" s="37" t="s">
        <v>186</v>
      </c>
      <c r="R6" s="2" t="s">
        <v>73</v>
      </c>
      <c r="S6" s="38" t="s">
        <v>194</v>
      </c>
      <c r="V6" s="37">
        <v>40</v>
      </c>
      <c r="W6" s="38" t="s">
        <v>195</v>
      </c>
      <c r="Z6" s="32" t="str" cm="1">
        <f t="array" ref="Z6:AA6">VLOOKUP(L6,$T$15:$V$21,{2,3},TRUE)</f>
        <v>A</v>
      </c>
      <c r="AA6" s="32" t="str">
        <v>LAPTOP</v>
      </c>
    </row>
    <row r="7" spans="1:27" x14ac:dyDescent="0.25">
      <c r="A7" s="32" t="s">
        <v>102</v>
      </c>
      <c r="B7" s="32" t="s">
        <v>103</v>
      </c>
      <c r="C7" t="s">
        <v>172</v>
      </c>
      <c r="D7">
        <v>34</v>
      </c>
      <c r="E7">
        <v>43</v>
      </c>
      <c r="F7">
        <v>76</v>
      </c>
      <c r="G7">
        <v>73</v>
      </c>
      <c r="H7" s="32">
        <v>76</v>
      </c>
      <c r="I7" s="32">
        <v>43</v>
      </c>
      <c r="J7" s="32">
        <v>34</v>
      </c>
      <c r="K7" s="32">
        <f t="shared" si="0"/>
        <v>379</v>
      </c>
      <c r="L7" s="9">
        <f t="shared" si="1"/>
        <v>54.2</v>
      </c>
      <c r="M7" s="32" t="str" cm="1">
        <f t="array" ref="M7">_xlfn.IFS(L7&gt;=70,"A",L7&gt;=60,"B",L7&gt;=50,"C",L7&gt;=40,"D",L7&gt;=30,"E",L7&gt;=0,"F")</f>
        <v>C</v>
      </c>
      <c r="N7" s="32">
        <f t="shared" si="2"/>
        <v>17</v>
      </c>
      <c r="O7" s="32" t="str">
        <f t="shared" si="3"/>
        <v>SMARTWATCH</v>
      </c>
      <c r="Q7" s="37" t="s">
        <v>187</v>
      </c>
      <c r="R7" s="2" t="s">
        <v>190</v>
      </c>
      <c r="S7" s="38" t="s">
        <v>195</v>
      </c>
      <c r="V7" s="37">
        <v>50</v>
      </c>
      <c r="W7" s="38" t="s">
        <v>194</v>
      </c>
      <c r="Z7" s="32" t="str" cm="1">
        <f t="array" ref="Z7:AA7">VLOOKUP(L7,$T$15:$V$21,{2,3},TRUE)</f>
        <v>C</v>
      </c>
      <c r="AA7" s="32" t="str">
        <v>SMARTWATCH</v>
      </c>
    </row>
    <row r="8" spans="1:27" x14ac:dyDescent="0.25">
      <c r="A8" s="32" t="s">
        <v>104</v>
      </c>
      <c r="B8" s="32" t="s">
        <v>105</v>
      </c>
      <c r="C8" t="s">
        <v>172</v>
      </c>
      <c r="D8">
        <v>67</v>
      </c>
      <c r="E8">
        <v>56</v>
      </c>
      <c r="F8">
        <v>77</v>
      </c>
      <c r="G8">
        <v>73</v>
      </c>
      <c r="H8" s="32">
        <v>77</v>
      </c>
      <c r="I8" s="32">
        <v>56</v>
      </c>
      <c r="J8" s="32">
        <v>67</v>
      </c>
      <c r="K8" s="32">
        <f t="shared" si="0"/>
        <v>473</v>
      </c>
      <c r="L8" s="9">
        <f t="shared" si="1"/>
        <v>67.599999999999994</v>
      </c>
      <c r="M8" s="32" t="str" cm="1">
        <f t="array" ref="M8">_xlfn.IFS(L8&gt;=70,"A",L8&gt;=60,"B",L8&gt;=50,"C",L8&gt;=40,"D",L8&gt;=30,"E",L8&gt;=0,"F")</f>
        <v>B</v>
      </c>
      <c r="N8" s="32">
        <f t="shared" si="2"/>
        <v>9</v>
      </c>
      <c r="O8" s="32" t="str">
        <f t="shared" si="3"/>
        <v>IPAD</v>
      </c>
      <c r="Q8" s="37" t="s">
        <v>188</v>
      </c>
      <c r="R8" s="2" t="s">
        <v>191</v>
      </c>
      <c r="S8" s="38" t="s">
        <v>196</v>
      </c>
      <c r="V8" s="37">
        <v>60</v>
      </c>
      <c r="W8" s="38" t="s">
        <v>193</v>
      </c>
      <c r="Z8" s="32" t="str" cm="1">
        <f t="array" ref="Z8:AA8">VLOOKUP(L8,$T$15:$V$21,{2,3},TRUE)</f>
        <v>B</v>
      </c>
      <c r="AA8" s="32" t="str">
        <v>IPAD</v>
      </c>
    </row>
    <row r="9" spans="1:27" ht="15.75" thickBot="1" x14ac:dyDescent="0.3">
      <c r="A9" s="32" t="s">
        <v>106</v>
      </c>
      <c r="B9" s="32" t="s">
        <v>107</v>
      </c>
      <c r="C9" t="s">
        <v>172</v>
      </c>
      <c r="D9">
        <v>88</v>
      </c>
      <c r="E9">
        <v>76</v>
      </c>
      <c r="F9">
        <v>45</v>
      </c>
      <c r="G9">
        <v>98</v>
      </c>
      <c r="H9" s="32">
        <v>45</v>
      </c>
      <c r="I9" s="32">
        <v>76</v>
      </c>
      <c r="J9" s="32">
        <v>88</v>
      </c>
      <c r="K9" s="32">
        <f t="shared" si="0"/>
        <v>516</v>
      </c>
      <c r="L9" s="9">
        <f t="shared" si="1"/>
        <v>73.8</v>
      </c>
      <c r="M9" s="32" t="str" cm="1">
        <f t="array" ref="M9">_xlfn.IFS(L9&gt;=70,"A",L9&gt;=60,"B",L9&gt;=50,"C",L9&gt;=40,"D",L9&gt;=30,"E",L9&gt;=0,"F")</f>
        <v>A</v>
      </c>
      <c r="N9" s="32">
        <f t="shared" si="2"/>
        <v>6</v>
      </c>
      <c r="O9" s="32" t="str">
        <f t="shared" si="3"/>
        <v>LAPTOP</v>
      </c>
      <c r="Q9" s="39" t="s">
        <v>189</v>
      </c>
      <c r="R9" s="40" t="s">
        <v>173</v>
      </c>
      <c r="S9" s="41" t="s">
        <v>197</v>
      </c>
      <c r="V9" s="39">
        <v>70</v>
      </c>
      <c r="W9" s="41" t="s">
        <v>192</v>
      </c>
      <c r="Z9" s="32" t="str" cm="1">
        <f t="array" ref="Z9:AA9">VLOOKUP(L9,$T$15:$V$21,{2,3},TRUE)</f>
        <v>A</v>
      </c>
      <c r="AA9" s="32" t="str">
        <v>LAPTOP</v>
      </c>
    </row>
    <row r="10" spans="1:27" x14ac:dyDescent="0.25">
      <c r="A10" s="32" t="s">
        <v>108</v>
      </c>
      <c r="B10" s="32" t="s">
        <v>109</v>
      </c>
      <c r="C10" t="s">
        <v>173</v>
      </c>
      <c r="D10">
        <v>45</v>
      </c>
      <c r="E10">
        <v>84</v>
      </c>
      <c r="F10">
        <v>48</v>
      </c>
      <c r="G10">
        <v>59</v>
      </c>
      <c r="H10" s="32">
        <v>48</v>
      </c>
      <c r="I10" s="32">
        <v>84</v>
      </c>
      <c r="J10" s="32">
        <v>45</v>
      </c>
      <c r="K10" s="32">
        <f t="shared" si="0"/>
        <v>413</v>
      </c>
      <c r="L10" s="9">
        <f t="shared" si="1"/>
        <v>59</v>
      </c>
      <c r="M10" s="32" t="str" cm="1">
        <f t="array" ref="M10">_xlfn.IFS(L10&gt;=70,"A",L10&gt;=60,"B",L10&gt;=50,"C",L10&gt;=40,"D",L10&gt;=30,"E",L10&gt;=0,"F")</f>
        <v>C</v>
      </c>
      <c r="N10" s="32">
        <f t="shared" si="2"/>
        <v>12</v>
      </c>
      <c r="O10" s="32" t="str">
        <f t="shared" si="3"/>
        <v>SMARTWATCH</v>
      </c>
      <c r="Z10" s="32" t="str" cm="1">
        <f t="array" ref="Z10:AA10">VLOOKUP(L10,$T$15:$V$21,{2,3},TRUE)</f>
        <v>C</v>
      </c>
      <c r="AA10" s="32" t="str">
        <v>SMARTWATCH</v>
      </c>
    </row>
    <row r="11" spans="1:27" x14ac:dyDescent="0.25">
      <c r="A11" s="32" t="s">
        <v>110</v>
      </c>
      <c r="B11" s="32" t="s">
        <v>111</v>
      </c>
      <c r="C11" t="s">
        <v>173</v>
      </c>
      <c r="D11">
        <v>34</v>
      </c>
      <c r="E11">
        <v>51</v>
      </c>
      <c r="F11">
        <v>75</v>
      </c>
      <c r="G11">
        <v>71</v>
      </c>
      <c r="H11" s="32">
        <v>75</v>
      </c>
      <c r="I11" s="32">
        <v>51</v>
      </c>
      <c r="J11" s="32">
        <v>34</v>
      </c>
      <c r="K11" s="32">
        <f t="shared" si="0"/>
        <v>391</v>
      </c>
      <c r="L11" s="9">
        <f t="shared" si="1"/>
        <v>55.9</v>
      </c>
      <c r="M11" s="32" t="str" cm="1">
        <f t="array" ref="M11">_xlfn.IFS(L11&gt;=70,"A",L11&gt;=60,"B",L11&gt;=50,"C",L11&gt;=40,"D",L11&gt;=30,"E",L11&gt;=0,"F")</f>
        <v>C</v>
      </c>
      <c r="N11" s="32">
        <f t="shared" si="2"/>
        <v>15</v>
      </c>
      <c r="O11" s="32" t="str">
        <f t="shared" si="3"/>
        <v>SMARTWATCH</v>
      </c>
      <c r="Z11" s="32" t="str" cm="1">
        <f t="array" ref="Z11:AA11">VLOOKUP(L11,$T$15:$V$21,{2,3},TRUE)</f>
        <v>C</v>
      </c>
      <c r="AA11" s="32" t="str">
        <v>SMARTWATCH</v>
      </c>
    </row>
    <row r="12" spans="1:27" x14ac:dyDescent="0.25">
      <c r="A12" s="32" t="s">
        <v>112</v>
      </c>
      <c r="B12" s="32" t="s">
        <v>113</v>
      </c>
      <c r="C12" t="s">
        <v>172</v>
      </c>
      <c r="D12">
        <v>75</v>
      </c>
      <c r="E12">
        <v>75</v>
      </c>
      <c r="F12">
        <v>84</v>
      </c>
      <c r="G12">
        <v>74</v>
      </c>
      <c r="H12" s="32">
        <v>84</v>
      </c>
      <c r="I12" s="32">
        <v>75</v>
      </c>
      <c r="J12" s="32">
        <v>75</v>
      </c>
      <c r="K12" s="32">
        <f t="shared" si="0"/>
        <v>542</v>
      </c>
      <c r="L12" s="9">
        <f t="shared" si="1"/>
        <v>77.5</v>
      </c>
      <c r="M12" s="32" t="str" cm="1">
        <f t="array" ref="M12">_xlfn.IFS(L12&gt;=70,"A",L12&gt;=60,"B",L12&gt;=50,"C",L12&gt;=40,"D",L12&gt;=30,"E",L12&gt;=0,"F")</f>
        <v>A</v>
      </c>
      <c r="N12" s="32">
        <f t="shared" si="2"/>
        <v>5</v>
      </c>
      <c r="O12" s="32" t="str">
        <f t="shared" si="3"/>
        <v>LAPTOP</v>
      </c>
      <c r="Z12" s="32" t="str" cm="1">
        <f t="array" ref="Z12:AA12">VLOOKUP(L12,$T$15:$V$21,{2,3},TRUE)</f>
        <v>A</v>
      </c>
      <c r="AA12" s="32" t="str">
        <v>LAPTOP</v>
      </c>
    </row>
    <row r="13" spans="1:27" x14ac:dyDescent="0.25">
      <c r="A13" s="32" t="s">
        <v>114</v>
      </c>
      <c r="B13" s="32" t="s">
        <v>115</v>
      </c>
      <c r="C13" t="s">
        <v>172</v>
      </c>
      <c r="D13">
        <v>44</v>
      </c>
      <c r="E13">
        <v>67</v>
      </c>
      <c r="F13">
        <v>48</v>
      </c>
      <c r="G13">
        <v>92</v>
      </c>
      <c r="H13" s="32">
        <v>48</v>
      </c>
      <c r="I13" s="32">
        <v>67</v>
      </c>
      <c r="J13" s="32">
        <v>44</v>
      </c>
      <c r="K13" s="32">
        <f t="shared" si="0"/>
        <v>410</v>
      </c>
      <c r="L13" s="9">
        <f t="shared" si="1"/>
        <v>58.6</v>
      </c>
      <c r="M13" s="32" t="str" cm="1">
        <f t="array" ref="M13">_xlfn.IFS(L13&gt;=70,"A",L13&gt;=60,"B",L13&gt;=50,"C",L13&gt;=40,"D",L13&gt;=30,"E",L13&gt;=0,"F")</f>
        <v>C</v>
      </c>
      <c r="N13" s="32">
        <f t="shared" si="2"/>
        <v>13</v>
      </c>
      <c r="O13" s="32" t="str">
        <f t="shared" si="3"/>
        <v>SMARTWATCH</v>
      </c>
      <c r="Z13" s="32" t="str" cm="1">
        <f t="array" ref="Z13:AA13">VLOOKUP(L13,$T$15:$V$21,{2,3},TRUE)</f>
        <v>C</v>
      </c>
      <c r="AA13" s="32" t="str">
        <v>SMARTWATCH</v>
      </c>
    </row>
    <row r="14" spans="1:27" ht="15.75" thickBot="1" x14ac:dyDescent="0.3">
      <c r="A14" s="32" t="s">
        <v>116</v>
      </c>
      <c r="B14" s="32" t="s">
        <v>117</v>
      </c>
      <c r="C14" t="s">
        <v>173</v>
      </c>
      <c r="D14">
        <v>65</v>
      </c>
      <c r="E14">
        <v>88</v>
      </c>
      <c r="F14">
        <v>93</v>
      </c>
      <c r="G14">
        <v>74</v>
      </c>
      <c r="H14" s="32">
        <v>93</v>
      </c>
      <c r="I14" s="32">
        <v>88</v>
      </c>
      <c r="J14" s="32">
        <v>65</v>
      </c>
      <c r="K14" s="32">
        <f t="shared" si="0"/>
        <v>566</v>
      </c>
      <c r="L14" s="9">
        <f t="shared" si="1"/>
        <v>80.899999999999991</v>
      </c>
      <c r="M14" s="32" t="str" cm="1">
        <f t="array" ref="M14">_xlfn.IFS(L14&gt;=70,"A",L14&gt;=60,"B",L14&gt;=50,"C",L14&gt;=40,"D",L14&gt;=30,"E",L14&gt;=0,"F")</f>
        <v>A</v>
      </c>
      <c r="N14" s="32">
        <f t="shared" si="2"/>
        <v>3</v>
      </c>
      <c r="O14" s="32" t="str">
        <f t="shared" si="3"/>
        <v>LAPTOP</v>
      </c>
      <c r="Z14" s="32" t="str" cm="1">
        <f t="array" ref="Z14:AA14">VLOOKUP(L14,$T$15:$V$21,{2,3},TRUE)</f>
        <v>A</v>
      </c>
      <c r="AA14" s="32" t="str">
        <v>LAPTOP</v>
      </c>
    </row>
    <row r="15" spans="1:27" x14ac:dyDescent="0.25">
      <c r="A15" s="32" t="s">
        <v>118</v>
      </c>
      <c r="B15" s="32" t="s">
        <v>119</v>
      </c>
      <c r="C15" t="s">
        <v>172</v>
      </c>
      <c r="D15">
        <v>98</v>
      </c>
      <c r="E15">
        <v>63</v>
      </c>
      <c r="F15">
        <v>83</v>
      </c>
      <c r="G15">
        <v>93</v>
      </c>
      <c r="H15" s="32">
        <v>83</v>
      </c>
      <c r="I15" s="32">
        <v>63</v>
      </c>
      <c r="J15" s="32">
        <v>98</v>
      </c>
      <c r="K15" s="32">
        <f t="shared" si="0"/>
        <v>581</v>
      </c>
      <c r="L15" s="9">
        <f t="shared" si="1"/>
        <v>83</v>
      </c>
      <c r="M15" s="32" t="str" cm="1">
        <f t="array" ref="M15">_xlfn.IFS(L15&gt;=70,"A",L15&gt;=60,"B",L15&gt;=50,"C",L15&gt;=40,"D",L15&gt;=30,"E",L15&gt;=0,"F")</f>
        <v>A</v>
      </c>
      <c r="N15" s="32">
        <f t="shared" si="2"/>
        <v>1</v>
      </c>
      <c r="O15" s="32" t="str">
        <f t="shared" si="3"/>
        <v>LAPTOP</v>
      </c>
      <c r="T15" s="34" t="s">
        <v>183</v>
      </c>
      <c r="U15" s="35" t="s">
        <v>180</v>
      </c>
      <c r="V15" s="36" t="s">
        <v>182</v>
      </c>
      <c r="Z15" s="32" t="str" cm="1">
        <f t="array" ref="Z15:AA15">VLOOKUP(L15,$T$15:$V$21,{2,3},TRUE)</f>
        <v>A</v>
      </c>
      <c r="AA15" s="32" t="str">
        <v>LAPTOP</v>
      </c>
    </row>
    <row r="16" spans="1:27" x14ac:dyDescent="0.25">
      <c r="A16" s="32" t="s">
        <v>120</v>
      </c>
      <c r="B16" s="32" t="s">
        <v>121</v>
      </c>
      <c r="C16" t="s">
        <v>173</v>
      </c>
      <c r="D16">
        <v>76</v>
      </c>
      <c r="E16">
        <v>63</v>
      </c>
      <c r="F16">
        <v>65</v>
      </c>
      <c r="G16">
        <v>62</v>
      </c>
      <c r="H16" s="32">
        <v>65</v>
      </c>
      <c r="I16" s="32">
        <v>63</v>
      </c>
      <c r="J16" s="32">
        <v>76</v>
      </c>
      <c r="K16" s="32">
        <f t="shared" si="0"/>
        <v>470</v>
      </c>
      <c r="L16" s="9">
        <f t="shared" si="1"/>
        <v>67.199999999999989</v>
      </c>
      <c r="M16" s="32" t="str" cm="1">
        <f t="array" ref="M16">_xlfn.IFS(L16&gt;=70,"A",L16&gt;=60,"B",L16&gt;=50,"C",L16&gt;=40,"D",L16&gt;=30,"E",L16&gt;=0,"F")</f>
        <v>B</v>
      </c>
      <c r="N16" s="32">
        <f t="shared" si="2"/>
        <v>10</v>
      </c>
      <c r="O16" s="32" t="str">
        <f t="shared" si="3"/>
        <v>IPAD</v>
      </c>
      <c r="T16" s="37">
        <v>0</v>
      </c>
      <c r="U16" s="2" t="s">
        <v>173</v>
      </c>
      <c r="V16" s="38" t="s">
        <v>197</v>
      </c>
      <c r="Z16" s="32" t="str" cm="1">
        <f t="array" ref="Z16:AA16">VLOOKUP(L16,$T$15:$V$21,{2,3},TRUE)</f>
        <v>B</v>
      </c>
      <c r="AA16" s="32" t="str">
        <v>IPAD</v>
      </c>
    </row>
    <row r="17" spans="1:27" x14ac:dyDescent="0.25">
      <c r="A17" s="32" t="s">
        <v>122</v>
      </c>
      <c r="B17" s="32" t="s">
        <v>123</v>
      </c>
      <c r="C17" t="s">
        <v>173</v>
      </c>
      <c r="D17">
        <v>57</v>
      </c>
      <c r="E17">
        <v>84</v>
      </c>
      <c r="F17">
        <v>65</v>
      </c>
      <c r="G17">
        <v>91</v>
      </c>
      <c r="H17" s="32">
        <v>65</v>
      </c>
      <c r="I17" s="32">
        <v>84</v>
      </c>
      <c r="J17" s="32">
        <v>57</v>
      </c>
      <c r="K17" s="32">
        <f t="shared" si="0"/>
        <v>503</v>
      </c>
      <c r="L17" s="9">
        <f t="shared" si="1"/>
        <v>71.899999999999991</v>
      </c>
      <c r="M17" s="32" t="str" cm="1">
        <f t="array" ref="M17">_xlfn.IFS(L17&gt;=70,"A",L17&gt;=60,"B",L17&gt;=50,"C",L17&gt;=40,"D",L17&gt;=30,"E",L17&gt;=0,"F")</f>
        <v>A</v>
      </c>
      <c r="N17" s="32">
        <f t="shared" si="2"/>
        <v>8</v>
      </c>
      <c r="O17" s="32" t="str">
        <f t="shared" si="3"/>
        <v>LAPTOP</v>
      </c>
      <c r="T17" s="37">
        <v>30</v>
      </c>
      <c r="U17" s="2" t="s">
        <v>191</v>
      </c>
      <c r="V17" s="38" t="s">
        <v>196</v>
      </c>
      <c r="Z17" s="32" t="str" cm="1">
        <f t="array" ref="Z17:AA17">VLOOKUP(L17,$T$15:$V$21,{2,3},TRUE)</f>
        <v>A</v>
      </c>
      <c r="AA17" s="32" t="str">
        <v>LAPTOP</v>
      </c>
    </row>
    <row r="18" spans="1:27" x14ac:dyDescent="0.25">
      <c r="A18" s="32" t="s">
        <v>124</v>
      </c>
      <c r="B18" s="32" t="s">
        <v>125</v>
      </c>
      <c r="C18" t="s">
        <v>172</v>
      </c>
      <c r="D18">
        <v>86</v>
      </c>
      <c r="E18">
        <v>57</v>
      </c>
      <c r="F18">
        <v>83</v>
      </c>
      <c r="G18">
        <v>63</v>
      </c>
      <c r="H18" s="32">
        <v>83</v>
      </c>
      <c r="I18" s="32">
        <v>57</v>
      </c>
      <c r="J18" s="32">
        <v>86</v>
      </c>
      <c r="K18" s="32">
        <f t="shared" si="0"/>
        <v>515</v>
      </c>
      <c r="L18" s="9">
        <f t="shared" si="1"/>
        <v>73.599999999999994</v>
      </c>
      <c r="M18" s="32" t="str" cm="1">
        <f t="array" ref="M18">_xlfn.IFS(L18&gt;=70,"A",L18&gt;=60,"B",L18&gt;=50,"C",L18&gt;=40,"D",L18&gt;=30,"E",L18&gt;=0,"F")</f>
        <v>A</v>
      </c>
      <c r="N18" s="32">
        <f t="shared" si="2"/>
        <v>7</v>
      </c>
      <c r="O18" s="32" t="str">
        <f t="shared" si="3"/>
        <v>LAPTOP</v>
      </c>
      <c r="T18" s="37">
        <v>40</v>
      </c>
      <c r="U18" s="2" t="s">
        <v>190</v>
      </c>
      <c r="V18" s="38" t="s">
        <v>195</v>
      </c>
      <c r="Z18" s="32" t="str" cm="1">
        <f t="array" ref="Z18:AA18">VLOOKUP(L18,$T$15:$V$21,{2,3},TRUE)</f>
        <v>A</v>
      </c>
      <c r="AA18" s="32" t="str">
        <v>LAPTOP</v>
      </c>
    </row>
    <row r="19" spans="1:27" x14ac:dyDescent="0.25">
      <c r="A19" s="32" t="s">
        <v>126</v>
      </c>
      <c r="B19" s="32" t="s">
        <v>127</v>
      </c>
      <c r="C19" t="s">
        <v>172</v>
      </c>
      <c r="D19">
        <v>99</v>
      </c>
      <c r="E19">
        <v>63</v>
      </c>
      <c r="F19">
        <v>91</v>
      </c>
      <c r="G19">
        <v>74</v>
      </c>
      <c r="H19" s="32">
        <v>91</v>
      </c>
      <c r="I19" s="32">
        <v>63</v>
      </c>
      <c r="J19" s="32">
        <v>99</v>
      </c>
      <c r="K19" s="32">
        <f t="shared" si="0"/>
        <v>580</v>
      </c>
      <c r="L19" s="9">
        <f t="shared" si="1"/>
        <v>82.899999999999991</v>
      </c>
      <c r="M19" s="32" t="str" cm="1">
        <f t="array" ref="M19">_xlfn.IFS(L19&gt;=70,"A",L19&gt;=60,"B",L19&gt;=50,"C",L19&gt;=40,"D",L19&gt;=30,"E",L19&gt;=0,"F")</f>
        <v>A</v>
      </c>
      <c r="N19" s="32">
        <f t="shared" si="2"/>
        <v>2</v>
      </c>
      <c r="O19" s="32" t="str">
        <f t="shared" si="3"/>
        <v>LAPTOP</v>
      </c>
      <c r="T19" s="37">
        <v>50</v>
      </c>
      <c r="U19" s="2" t="s">
        <v>73</v>
      </c>
      <c r="V19" s="38" t="s">
        <v>194</v>
      </c>
      <c r="Z19" s="32" t="str" cm="1">
        <f t="array" ref="Z19:AA19">VLOOKUP(L19,$T$15:$V$21,{2,3},TRUE)</f>
        <v>A</v>
      </c>
      <c r="AA19" s="32" t="str">
        <v>LAPTOP</v>
      </c>
    </row>
    <row r="20" spans="1:27" x14ac:dyDescent="0.25">
      <c r="A20" s="32" t="s">
        <v>128</v>
      </c>
      <c r="B20" s="32" t="s">
        <v>129</v>
      </c>
      <c r="C20" t="s">
        <v>172</v>
      </c>
      <c r="D20">
        <v>61</v>
      </c>
      <c r="E20">
        <v>66</v>
      </c>
      <c r="F20">
        <v>59</v>
      </c>
      <c r="G20">
        <v>75</v>
      </c>
      <c r="H20" s="32">
        <v>59</v>
      </c>
      <c r="I20" s="32">
        <v>66</v>
      </c>
      <c r="J20" s="32">
        <v>61</v>
      </c>
      <c r="K20" s="32">
        <f t="shared" si="0"/>
        <v>447</v>
      </c>
      <c r="L20" s="9">
        <f t="shared" si="1"/>
        <v>63.9</v>
      </c>
      <c r="M20" s="32" t="str" cm="1">
        <f t="array" ref="M20">_xlfn.IFS(L20&gt;=70,"A",L20&gt;=60,"B",L20&gt;=50,"C",L20&gt;=40,"D",L20&gt;=30,"E",L20&gt;=0,"F")</f>
        <v>B</v>
      </c>
      <c r="N20" s="32">
        <f t="shared" si="2"/>
        <v>11</v>
      </c>
      <c r="O20" s="32" t="str">
        <f t="shared" si="3"/>
        <v>IPAD</v>
      </c>
      <c r="T20" s="37">
        <v>60</v>
      </c>
      <c r="U20" s="2" t="s">
        <v>68</v>
      </c>
      <c r="V20" s="38" t="s">
        <v>193</v>
      </c>
      <c r="Z20" s="32" t="str" cm="1">
        <f t="array" ref="Z20:AA20">VLOOKUP(L20,$T$15:$V$21,{2,3},TRUE)</f>
        <v>B</v>
      </c>
      <c r="AA20" s="32" t="str">
        <v>IPAD</v>
      </c>
    </row>
    <row r="21" spans="1:27" ht="15.75" thickBot="1" x14ac:dyDescent="0.3">
      <c r="T21" s="39">
        <v>70</v>
      </c>
      <c r="U21" s="40" t="s">
        <v>65</v>
      </c>
      <c r="V21" s="41" t="s">
        <v>192</v>
      </c>
    </row>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BCC7-1A9F-4471-A4A4-7D9F1B0D1142}">
  <dimension ref="A1:L27"/>
  <sheetViews>
    <sheetView topLeftCell="D1" zoomScaleNormal="100" workbookViewId="0">
      <selection activeCell="H27" sqref="H27"/>
    </sheetView>
  </sheetViews>
  <sheetFormatPr defaultRowHeight="15" x14ac:dyDescent="0.25"/>
  <cols>
    <col min="1" max="1" width="6.7109375" style="42" bestFit="1" customWidth="1"/>
    <col min="2" max="2" width="11.42578125" style="42" bestFit="1" customWidth="1"/>
    <col min="3" max="3" width="13" style="42" customWidth="1"/>
    <col min="4" max="4" width="4.5703125" style="42" bestFit="1" customWidth="1"/>
    <col min="5" max="5" width="13.140625" style="42" bestFit="1" customWidth="1"/>
    <col min="6" max="6" width="15" style="42" bestFit="1" customWidth="1"/>
    <col min="7" max="7" width="12.42578125" style="42" bestFit="1" customWidth="1"/>
    <col min="8" max="8" width="12.5703125" style="42" bestFit="1" customWidth="1"/>
    <col min="9" max="16384" width="9.140625" style="42"/>
  </cols>
  <sheetData>
    <row r="1" spans="1:12" ht="20.25" thickBot="1" x14ac:dyDescent="0.35">
      <c r="A1" s="84" t="s">
        <v>231</v>
      </c>
      <c r="B1" s="84"/>
      <c r="C1" s="84"/>
      <c r="D1" s="84"/>
      <c r="E1" s="84"/>
      <c r="F1" s="84"/>
      <c r="G1" s="84"/>
      <c r="H1" s="84"/>
    </row>
    <row r="2" spans="1:12" ht="15.75" thickTop="1" x14ac:dyDescent="0.25">
      <c r="A2" s="85" t="s">
        <v>230</v>
      </c>
      <c r="B2" s="85"/>
    </row>
    <row r="3" spans="1:12" x14ac:dyDescent="0.25">
      <c r="A3" s="42" t="s">
        <v>222</v>
      </c>
      <c r="B3" s="42" t="s">
        <v>229</v>
      </c>
      <c r="C3" s="42" t="s">
        <v>228</v>
      </c>
      <c r="D3" s="42" t="s">
        <v>227</v>
      </c>
      <c r="E3" s="42" t="s">
        <v>226</v>
      </c>
      <c r="F3" s="42" t="s">
        <v>225</v>
      </c>
      <c r="G3" s="42" t="s">
        <v>224</v>
      </c>
      <c r="H3" s="42" t="s">
        <v>223</v>
      </c>
      <c r="K3" s="43"/>
      <c r="L3" s="43"/>
    </row>
    <row r="4" spans="1:12" x14ac:dyDescent="0.25">
      <c r="A4" s="42">
        <v>1001</v>
      </c>
      <c r="B4" s="42" t="s">
        <v>96</v>
      </c>
      <c r="C4" s="42" t="s">
        <v>97</v>
      </c>
      <c r="D4" s="42" t="s">
        <v>172</v>
      </c>
      <c r="E4" s="42" t="s">
        <v>216</v>
      </c>
      <c r="F4" s="42" t="s">
        <v>215</v>
      </c>
      <c r="G4" s="42" t="s">
        <v>214</v>
      </c>
      <c r="H4" s="25">
        <v>81500</v>
      </c>
    </row>
    <row r="5" spans="1:12" x14ac:dyDescent="0.25">
      <c r="A5" s="42">
        <v>1002</v>
      </c>
      <c r="B5" s="42" t="s">
        <v>98</v>
      </c>
      <c r="C5" s="42" t="s">
        <v>99</v>
      </c>
      <c r="D5" s="42" t="s">
        <v>172</v>
      </c>
      <c r="E5" s="42" t="s">
        <v>216</v>
      </c>
      <c r="F5" s="42" t="s">
        <v>215</v>
      </c>
      <c r="G5" s="42" t="s">
        <v>214</v>
      </c>
      <c r="H5" s="25">
        <v>81500</v>
      </c>
    </row>
    <row r="6" spans="1:12" x14ac:dyDescent="0.25">
      <c r="A6" s="42">
        <v>1003</v>
      </c>
      <c r="B6" s="42" t="s">
        <v>100</v>
      </c>
      <c r="C6" s="42" t="s">
        <v>101</v>
      </c>
      <c r="D6" s="42" t="s">
        <v>172</v>
      </c>
      <c r="E6" s="42" t="s">
        <v>221</v>
      </c>
      <c r="F6" s="42" t="s">
        <v>218</v>
      </c>
      <c r="G6" s="42" t="s">
        <v>220</v>
      </c>
      <c r="H6" s="25">
        <v>71900</v>
      </c>
    </row>
    <row r="7" spans="1:12" x14ac:dyDescent="0.25">
      <c r="A7" s="42">
        <v>1004</v>
      </c>
      <c r="B7" s="42" t="s">
        <v>102</v>
      </c>
      <c r="C7" s="42" t="s">
        <v>103</v>
      </c>
      <c r="D7" s="42" t="s">
        <v>172</v>
      </c>
      <c r="E7" s="42" t="s">
        <v>216</v>
      </c>
      <c r="F7" s="42" t="s">
        <v>215</v>
      </c>
      <c r="G7" s="42" t="s">
        <v>214</v>
      </c>
      <c r="H7" s="25">
        <v>81500</v>
      </c>
    </row>
    <row r="8" spans="1:12" x14ac:dyDescent="0.25">
      <c r="A8" s="42">
        <v>1005</v>
      </c>
      <c r="B8" s="42" t="s">
        <v>104</v>
      </c>
      <c r="C8" s="42" t="s">
        <v>105</v>
      </c>
      <c r="D8" s="42" t="s">
        <v>172</v>
      </c>
      <c r="E8" s="42" t="s">
        <v>213</v>
      </c>
      <c r="F8" s="42" t="s">
        <v>212</v>
      </c>
      <c r="G8" s="42" t="s">
        <v>211</v>
      </c>
      <c r="H8" s="25">
        <v>51000</v>
      </c>
      <c r="K8" s="42" t="s">
        <v>240</v>
      </c>
      <c r="L8" s="42" t="s">
        <v>241</v>
      </c>
    </row>
    <row r="9" spans="1:12" x14ac:dyDescent="0.25">
      <c r="A9" s="42">
        <v>1006</v>
      </c>
      <c r="B9" s="42" t="s">
        <v>106</v>
      </c>
      <c r="C9" s="42" t="s">
        <v>107</v>
      </c>
      <c r="D9" s="42" t="s">
        <v>173</v>
      </c>
      <c r="E9" s="42" t="s">
        <v>210</v>
      </c>
      <c r="F9" s="42" t="s">
        <v>209</v>
      </c>
      <c r="G9" s="42" t="s">
        <v>208</v>
      </c>
      <c r="H9" s="25">
        <v>46000</v>
      </c>
      <c r="J9" s="42" t="s">
        <v>232</v>
      </c>
    </row>
    <row r="10" spans="1:12" x14ac:dyDescent="0.25">
      <c r="A10" s="42">
        <v>1007</v>
      </c>
      <c r="B10" s="42" t="s">
        <v>108</v>
      </c>
      <c r="C10" s="42" t="s">
        <v>109</v>
      </c>
      <c r="D10" s="42" t="s">
        <v>173</v>
      </c>
      <c r="E10" s="42" t="s">
        <v>221</v>
      </c>
      <c r="F10" s="42" t="s">
        <v>218</v>
      </c>
      <c r="G10" s="42" t="s">
        <v>220</v>
      </c>
      <c r="H10" s="25">
        <v>71900</v>
      </c>
      <c r="J10" s="42" t="s">
        <v>233</v>
      </c>
    </row>
    <row r="11" spans="1:12" x14ac:dyDescent="0.25">
      <c r="A11" s="42">
        <v>1008</v>
      </c>
      <c r="B11" s="42" t="s">
        <v>110</v>
      </c>
      <c r="C11" s="42" t="s">
        <v>111</v>
      </c>
      <c r="D11" s="42" t="s">
        <v>173</v>
      </c>
      <c r="E11" s="42" t="s">
        <v>219</v>
      </c>
      <c r="F11" s="42" t="s">
        <v>218</v>
      </c>
      <c r="G11" s="42" t="s">
        <v>217</v>
      </c>
      <c r="H11" s="25">
        <v>65000</v>
      </c>
      <c r="J11" s="42" t="s">
        <v>234</v>
      </c>
    </row>
    <row r="12" spans="1:12" x14ac:dyDescent="0.25">
      <c r="A12" s="42">
        <v>1009</v>
      </c>
      <c r="B12" s="42" t="s">
        <v>112</v>
      </c>
      <c r="C12" s="42" t="s">
        <v>113</v>
      </c>
      <c r="D12" s="42" t="s">
        <v>172</v>
      </c>
      <c r="E12" s="42" t="s">
        <v>219</v>
      </c>
      <c r="F12" s="42" t="s">
        <v>218</v>
      </c>
      <c r="G12" s="42" t="s">
        <v>217</v>
      </c>
      <c r="H12" s="25">
        <v>65000</v>
      </c>
      <c r="J12" s="42" t="s">
        <v>235</v>
      </c>
    </row>
    <row r="13" spans="1:12" x14ac:dyDescent="0.25">
      <c r="A13" s="42">
        <v>1010</v>
      </c>
      <c r="B13" s="42" t="s">
        <v>114</v>
      </c>
      <c r="C13" s="42" t="s">
        <v>115</v>
      </c>
      <c r="D13" s="42" t="s">
        <v>173</v>
      </c>
      <c r="E13" s="42" t="s">
        <v>219</v>
      </c>
      <c r="F13" s="42" t="s">
        <v>218</v>
      </c>
      <c r="G13" s="42" t="s">
        <v>217</v>
      </c>
      <c r="H13" s="25">
        <v>65000</v>
      </c>
      <c r="J13" s="42" t="s">
        <v>236</v>
      </c>
    </row>
    <row r="14" spans="1:12" x14ac:dyDescent="0.25">
      <c r="A14" s="42">
        <v>1011</v>
      </c>
      <c r="B14" s="42" t="s">
        <v>116</v>
      </c>
      <c r="C14" s="42" t="s">
        <v>117</v>
      </c>
      <c r="D14" s="42" t="s">
        <v>173</v>
      </c>
      <c r="E14" s="42" t="s">
        <v>213</v>
      </c>
      <c r="F14" s="42" t="s">
        <v>212</v>
      </c>
      <c r="G14" s="42" t="s">
        <v>211</v>
      </c>
      <c r="H14" s="25">
        <v>51000</v>
      </c>
    </row>
    <row r="15" spans="1:12" x14ac:dyDescent="0.25">
      <c r="A15" s="42">
        <v>1012</v>
      </c>
      <c r="B15" s="42" t="s">
        <v>118</v>
      </c>
      <c r="C15" s="42" t="s">
        <v>119</v>
      </c>
      <c r="D15" s="42" t="s">
        <v>173</v>
      </c>
      <c r="E15" s="42" t="s">
        <v>216</v>
      </c>
      <c r="F15" s="42" t="s">
        <v>215</v>
      </c>
      <c r="G15" s="42" t="s">
        <v>214</v>
      </c>
      <c r="H15" s="25">
        <v>81500</v>
      </c>
      <c r="J15" s="42" t="s">
        <v>237</v>
      </c>
    </row>
    <row r="16" spans="1:12" x14ac:dyDescent="0.25">
      <c r="A16" s="42">
        <v>1013</v>
      </c>
      <c r="B16" s="42" t="s">
        <v>120</v>
      </c>
      <c r="C16" s="42" t="s">
        <v>121</v>
      </c>
      <c r="D16" s="42" t="s">
        <v>173</v>
      </c>
      <c r="E16" s="42" t="s">
        <v>210</v>
      </c>
      <c r="F16" s="42" t="s">
        <v>209</v>
      </c>
      <c r="G16" s="42" t="s">
        <v>208</v>
      </c>
      <c r="H16" s="25">
        <v>46000</v>
      </c>
      <c r="J16" s="42" t="s">
        <v>238</v>
      </c>
    </row>
    <row r="17" spans="1:10" x14ac:dyDescent="0.25">
      <c r="A17" s="42">
        <v>1014</v>
      </c>
      <c r="B17" s="42" t="s">
        <v>122</v>
      </c>
      <c r="C17" s="42" t="s">
        <v>123</v>
      </c>
      <c r="D17" s="42" t="s">
        <v>172</v>
      </c>
      <c r="E17" s="42" t="s">
        <v>216</v>
      </c>
      <c r="F17" s="42" t="s">
        <v>215</v>
      </c>
      <c r="G17" s="42" t="s">
        <v>214</v>
      </c>
      <c r="H17" s="25">
        <v>81500</v>
      </c>
      <c r="J17" s="42" t="s">
        <v>239</v>
      </c>
    </row>
    <row r="18" spans="1:10" x14ac:dyDescent="0.25">
      <c r="A18" s="42">
        <v>1015</v>
      </c>
      <c r="B18" s="42" t="s">
        <v>124</v>
      </c>
      <c r="C18" s="42" t="s">
        <v>125</v>
      </c>
      <c r="D18" s="42" t="s">
        <v>172</v>
      </c>
      <c r="E18" s="42" t="s">
        <v>213</v>
      </c>
      <c r="F18" s="42" t="s">
        <v>212</v>
      </c>
      <c r="G18" s="42" t="s">
        <v>211</v>
      </c>
      <c r="H18" s="25">
        <v>51000</v>
      </c>
    </row>
    <row r="19" spans="1:10" x14ac:dyDescent="0.25">
      <c r="A19" s="42">
        <v>1016</v>
      </c>
      <c r="B19" s="42" t="s">
        <v>126</v>
      </c>
      <c r="C19" s="42" t="s">
        <v>127</v>
      </c>
      <c r="D19" s="42" t="s">
        <v>172</v>
      </c>
      <c r="E19" s="42" t="s">
        <v>213</v>
      </c>
      <c r="F19" s="42" t="s">
        <v>212</v>
      </c>
      <c r="G19" s="42" t="s">
        <v>211</v>
      </c>
      <c r="H19" s="25">
        <v>51000</v>
      </c>
    </row>
    <row r="20" spans="1:10" x14ac:dyDescent="0.25">
      <c r="A20" s="42">
        <v>1017</v>
      </c>
      <c r="B20" s="42" t="s">
        <v>128</v>
      </c>
      <c r="C20" s="42" t="s">
        <v>129</v>
      </c>
      <c r="D20" s="42" t="s">
        <v>172</v>
      </c>
      <c r="E20" s="42" t="s">
        <v>210</v>
      </c>
      <c r="F20" s="42" t="s">
        <v>209</v>
      </c>
      <c r="G20" s="42" t="s">
        <v>208</v>
      </c>
      <c r="H20" s="25">
        <v>46000</v>
      </c>
    </row>
    <row r="22" spans="1:10" x14ac:dyDescent="0.25">
      <c r="C22" s="42" t="s">
        <v>207</v>
      </c>
      <c r="H22" s="45">
        <f>COUNTIF(F4:F20,"HND")</f>
        <v>5</v>
      </c>
    </row>
    <row r="23" spans="1:10" x14ac:dyDescent="0.25">
      <c r="C23" s="42" t="s">
        <v>206</v>
      </c>
      <c r="H23" s="45">
        <f>COUNTIF(F4:F20,"BSC")</f>
        <v>5</v>
      </c>
    </row>
    <row r="24" spans="1:10" x14ac:dyDescent="0.25">
      <c r="C24" s="42" t="s">
        <v>205</v>
      </c>
      <c r="H24" s="46">
        <f>SUMIF(F4:F20,"HND",H4:H20)</f>
        <v>338800</v>
      </c>
    </row>
    <row r="25" spans="1:10" x14ac:dyDescent="0.25">
      <c r="C25" s="42" t="s">
        <v>204</v>
      </c>
      <c r="H25" s="45">
        <f>COUNTIFS(F4:F20,"HND",E4:E20,"Welfare")</f>
        <v>3</v>
      </c>
    </row>
    <row r="26" spans="1:10" x14ac:dyDescent="0.25">
      <c r="C26" s="42" t="s">
        <v>203</v>
      </c>
      <c r="H26" s="46">
        <f>SUMIF(F4:F20,"BSC",H4:H20)</f>
        <v>407500</v>
      </c>
    </row>
    <row r="27" spans="1:10" x14ac:dyDescent="0.25">
      <c r="C27" s="42" t="s">
        <v>202</v>
      </c>
      <c r="H27" s="45">
        <f>COUNTIFS(F4:F20,"HND",E4:E20,"Welfare",D4:D20,"F")</f>
        <v>2</v>
      </c>
    </row>
  </sheetData>
  <mergeCells count="2">
    <mergeCell ref="A1:H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4E91-4A67-4DB6-B7B4-58D8C4EF9649}">
  <dimension ref="A1:N53"/>
  <sheetViews>
    <sheetView topLeftCell="B1" workbookViewId="0">
      <selection activeCell="O11" sqref="O11"/>
    </sheetView>
  </sheetViews>
  <sheetFormatPr defaultRowHeight="15" x14ac:dyDescent="0.25"/>
  <cols>
    <col min="1" max="1" width="13.140625" bestFit="1" customWidth="1"/>
    <col min="2" max="2" width="9" bestFit="1" customWidth="1"/>
    <col min="3" max="3" width="20.140625" bestFit="1" customWidth="1"/>
    <col min="4" max="4" width="9.140625" bestFit="1" customWidth="1"/>
    <col min="5" max="5" width="20.28515625" bestFit="1" customWidth="1"/>
    <col min="6" max="6" width="19.28515625" bestFit="1" customWidth="1"/>
    <col min="7" max="7" width="6.7109375" bestFit="1" customWidth="1"/>
    <col min="8" max="8" width="9" bestFit="1" customWidth="1"/>
    <col min="9" max="9" width="14" bestFit="1" customWidth="1"/>
    <col min="10" max="10" width="8" bestFit="1" customWidth="1"/>
    <col min="11" max="11" width="9.85546875" bestFit="1" customWidth="1"/>
    <col min="12" max="12" width="17.7109375" bestFit="1" customWidth="1"/>
    <col min="13" max="13" width="12.140625" bestFit="1" customWidth="1"/>
    <col min="14" max="14" width="16.85546875" bestFit="1" customWidth="1"/>
  </cols>
  <sheetData>
    <row r="1" spans="1:14" s="77" customFormat="1" x14ac:dyDescent="0.25">
      <c r="A1" s="77" t="s">
        <v>375</v>
      </c>
      <c r="B1" s="77" t="s">
        <v>376</v>
      </c>
      <c r="C1" s="77" t="s">
        <v>377</v>
      </c>
      <c r="D1" s="77" t="s">
        <v>378</v>
      </c>
      <c r="E1" s="77" t="s">
        <v>379</v>
      </c>
      <c r="F1" s="77" t="s">
        <v>380</v>
      </c>
      <c r="G1" s="77" t="s">
        <v>319</v>
      </c>
      <c r="H1" s="77" t="s">
        <v>381</v>
      </c>
      <c r="I1" s="77" t="s">
        <v>382</v>
      </c>
      <c r="J1" s="77" t="s">
        <v>383</v>
      </c>
      <c r="K1" s="77" t="s">
        <v>384</v>
      </c>
      <c r="L1" s="77" t="s">
        <v>385</v>
      </c>
      <c r="M1" s="77" t="s">
        <v>386</v>
      </c>
      <c r="N1" s="77" t="s">
        <v>387</v>
      </c>
    </row>
    <row r="2" spans="1:14" x14ac:dyDescent="0.25">
      <c r="A2" s="75" t="s">
        <v>388</v>
      </c>
      <c r="B2" s="75" t="str">
        <f>LEFT(A2,2)</f>
        <v>TY</v>
      </c>
      <c r="C2" s="75" t="str">
        <f>VLOOKUP(B2,W_sheet_Car_Inventory!$A$2:$B$7,2,FALSE)</f>
        <v>Toyota</v>
      </c>
      <c r="D2" s="75" t="str">
        <f>MID(A2,5,3)</f>
        <v>CAM</v>
      </c>
      <c r="E2" s="75" t="str">
        <f>VLOOKUP(D2,W_sheet_Car_Inventory!$E$2:$F$12,2,FALSE)</f>
        <v>Camry</v>
      </c>
      <c r="F2" s="75" t="str">
        <f>MID(A2,3,2)</f>
        <v>96</v>
      </c>
      <c r="G2" s="75">
        <f>IF(25-F2&lt;0,100-F2+25,25-F2)</f>
        <v>29</v>
      </c>
      <c r="H2" s="75">
        <v>114660.6</v>
      </c>
      <c r="I2" s="9">
        <f>H2/G2</f>
        <v>3953.8137931034485</v>
      </c>
      <c r="J2" s="75" t="s">
        <v>389</v>
      </c>
      <c r="K2" s="75" t="s">
        <v>390</v>
      </c>
      <c r="L2" s="75">
        <v>100000</v>
      </c>
      <c r="M2" s="75" t="str">
        <f>IF(L2&gt;H2,"Covered","Not Covered")</f>
        <v>Not Covered</v>
      </c>
      <c r="N2" s="75" t="str">
        <f>CONCATENATE(B2,F2,D2,UPPER(LEFT(J2,3)),RIGHT(A2,3))</f>
        <v>TY96CAMGRE020</v>
      </c>
    </row>
    <row r="3" spans="1:14" x14ac:dyDescent="0.25">
      <c r="A3" s="75" t="s">
        <v>391</v>
      </c>
      <c r="B3" s="75" t="str">
        <f>LEFT(A3,2)</f>
        <v>CR</v>
      </c>
      <c r="C3" s="76" t="str">
        <f>VLOOKUP(B3,W_sheet_Car_Inventory!$A$2:$B$7,2,FALSE)</f>
        <v>Chrysler</v>
      </c>
      <c r="D3" s="76" t="str">
        <f t="shared" ref="D3:D53" si="0">MID(A3,5,3)</f>
        <v>CAR</v>
      </c>
      <c r="E3" s="76" t="str">
        <f>VLOOKUP(D3,W_sheet_Car_Inventory!$E$2:$F$12,2,FALSE)</f>
        <v>Caravan</v>
      </c>
      <c r="F3" s="76" t="str">
        <f t="shared" ref="F3:F53" si="1">MID(A3,3,2)</f>
        <v>04</v>
      </c>
      <c r="G3" s="76">
        <f t="shared" ref="G3:G53" si="2">IF(25-F3&lt;0,100-F3+25,25-F3)</f>
        <v>21</v>
      </c>
      <c r="H3" s="75">
        <v>72527.199999999997</v>
      </c>
      <c r="I3" s="9">
        <f t="shared" ref="I3:I53" si="3">H3/G3</f>
        <v>3453.6761904761902</v>
      </c>
      <c r="J3" s="75" t="s">
        <v>392</v>
      </c>
      <c r="K3" s="75" t="s">
        <v>393</v>
      </c>
      <c r="L3" s="75">
        <v>75000</v>
      </c>
      <c r="M3" s="76" t="str">
        <f t="shared" ref="M3:M53" si="4">IF(L3&gt;H3,"Covered","Not Covered")</f>
        <v>Covered</v>
      </c>
      <c r="N3" s="76" t="str">
        <f t="shared" ref="N3:N53" si="5">CONCATENATE(B3,F3,D3,UPPER(LEFT(J3,3)),RIGHT(A3,3))</f>
        <v>CR04CARWHI047</v>
      </c>
    </row>
    <row r="4" spans="1:14" x14ac:dyDescent="0.25">
      <c r="A4" s="75" t="s">
        <v>394</v>
      </c>
      <c r="B4" s="75" t="str">
        <f t="shared" ref="B4:B53" si="6">LEFT(A4,2)</f>
        <v>TY</v>
      </c>
      <c r="C4" s="76" t="str">
        <f>VLOOKUP(B4,W_sheet_Car_Inventory!$A$2:$B$7,2,FALSE)</f>
        <v>Toyota</v>
      </c>
      <c r="D4" s="76" t="str">
        <f t="shared" si="0"/>
        <v>CAM</v>
      </c>
      <c r="E4" s="76" t="str">
        <f>VLOOKUP(D4,W_sheet_Car_Inventory!$E$2:$F$12,2,FALSE)</f>
        <v>Camry</v>
      </c>
      <c r="F4" s="76" t="str">
        <f t="shared" si="1"/>
        <v>00</v>
      </c>
      <c r="G4" s="76">
        <f t="shared" si="2"/>
        <v>25</v>
      </c>
      <c r="H4" s="75">
        <v>85928</v>
      </c>
      <c r="I4" s="9">
        <f t="shared" si="3"/>
        <v>3437.12</v>
      </c>
      <c r="J4" s="75" t="s">
        <v>389</v>
      </c>
      <c r="K4" s="75" t="s">
        <v>395</v>
      </c>
      <c r="L4" s="75">
        <v>100000</v>
      </c>
      <c r="M4" s="76" t="str">
        <f t="shared" si="4"/>
        <v>Covered</v>
      </c>
      <c r="N4" s="76" t="str">
        <f t="shared" si="5"/>
        <v>TY00CAMGRE022</v>
      </c>
    </row>
    <row r="5" spans="1:14" x14ac:dyDescent="0.25">
      <c r="A5" s="75" t="s">
        <v>396</v>
      </c>
      <c r="B5" s="75" t="str">
        <f t="shared" si="6"/>
        <v>TY</v>
      </c>
      <c r="C5" s="76" t="str">
        <f>VLOOKUP(B5,W_sheet_Car_Inventory!$A$2:$B$7,2,FALSE)</f>
        <v>Toyota</v>
      </c>
      <c r="D5" s="76" t="str">
        <f t="shared" si="0"/>
        <v>CAM</v>
      </c>
      <c r="E5" s="76" t="str">
        <f>VLOOKUP(D5,W_sheet_Car_Inventory!$E$2:$F$12,2,FALSE)</f>
        <v>Camry</v>
      </c>
      <c r="F5" s="76" t="str">
        <f t="shared" si="1"/>
        <v>98</v>
      </c>
      <c r="G5" s="76">
        <f t="shared" si="2"/>
        <v>27</v>
      </c>
      <c r="H5" s="75">
        <v>93382.6</v>
      </c>
      <c r="I5" s="9">
        <f t="shared" si="3"/>
        <v>3458.614814814815</v>
      </c>
      <c r="J5" s="75" t="s">
        <v>397</v>
      </c>
      <c r="K5" s="75" t="s">
        <v>398</v>
      </c>
      <c r="L5" s="75">
        <v>100000</v>
      </c>
      <c r="M5" s="76" t="str">
        <f t="shared" si="4"/>
        <v>Covered</v>
      </c>
      <c r="N5" s="76" t="str">
        <f t="shared" si="5"/>
        <v>TY98CAMBLA021</v>
      </c>
    </row>
    <row r="6" spans="1:14" x14ac:dyDescent="0.25">
      <c r="A6" s="75" t="s">
        <v>399</v>
      </c>
      <c r="B6" s="75" t="str">
        <f t="shared" si="6"/>
        <v>TY</v>
      </c>
      <c r="C6" s="76" t="str">
        <f>VLOOKUP(B6,W_sheet_Car_Inventory!$A$2:$B$7,2,FALSE)</f>
        <v>Toyota</v>
      </c>
      <c r="D6" s="76" t="str">
        <f t="shared" si="0"/>
        <v>COR</v>
      </c>
      <c r="E6" s="76" t="str">
        <f>VLOOKUP(D6,W_sheet_Car_Inventory!$E$2:$F$12,2,FALSE)</f>
        <v>Corolla</v>
      </c>
      <c r="F6" s="76" t="str">
        <f t="shared" si="1"/>
        <v>03</v>
      </c>
      <c r="G6" s="76">
        <f t="shared" si="2"/>
        <v>22</v>
      </c>
      <c r="H6" s="75">
        <v>73444.399999999994</v>
      </c>
      <c r="I6" s="9">
        <f t="shared" si="3"/>
        <v>3338.3818181818178</v>
      </c>
      <c r="J6" s="75" t="s">
        <v>397</v>
      </c>
      <c r="K6" s="75" t="s">
        <v>400</v>
      </c>
      <c r="L6" s="75">
        <v>100000</v>
      </c>
      <c r="M6" s="76" t="str">
        <f t="shared" si="4"/>
        <v>Covered</v>
      </c>
      <c r="N6" s="76" t="str">
        <f t="shared" si="5"/>
        <v>TY03CORBLA026</v>
      </c>
    </row>
    <row r="7" spans="1:14" x14ac:dyDescent="0.25">
      <c r="A7" s="75" t="s">
        <v>401</v>
      </c>
      <c r="B7" s="75" t="str">
        <f t="shared" si="6"/>
        <v>TY</v>
      </c>
      <c r="C7" s="76" t="str">
        <f>VLOOKUP(B7,W_sheet_Car_Inventory!$A$2:$B$7,2,FALSE)</f>
        <v>Toyota</v>
      </c>
      <c r="D7" s="76" t="str">
        <f t="shared" si="0"/>
        <v>CAM</v>
      </c>
      <c r="E7" s="76" t="str">
        <f>VLOOKUP(D7,W_sheet_Car_Inventory!$E$2:$F$12,2,FALSE)</f>
        <v>Camry</v>
      </c>
      <c r="F7" s="76" t="str">
        <f t="shared" si="1"/>
        <v>09</v>
      </c>
      <c r="G7" s="76">
        <f t="shared" si="2"/>
        <v>16</v>
      </c>
      <c r="H7" s="75">
        <v>48114.2</v>
      </c>
      <c r="I7" s="9">
        <f t="shared" si="3"/>
        <v>3007.1374999999998</v>
      </c>
      <c r="J7" s="75" t="s">
        <v>392</v>
      </c>
      <c r="K7" s="75" t="s">
        <v>98</v>
      </c>
      <c r="L7" s="75">
        <v>100000</v>
      </c>
      <c r="M7" s="76" t="str">
        <f t="shared" si="4"/>
        <v>Covered</v>
      </c>
      <c r="N7" s="76" t="str">
        <f t="shared" si="5"/>
        <v>TY09CAMWHI024</v>
      </c>
    </row>
    <row r="8" spans="1:14" x14ac:dyDescent="0.25">
      <c r="A8" s="75" t="s">
        <v>402</v>
      </c>
      <c r="B8" s="75" t="str">
        <f t="shared" si="6"/>
        <v>GM</v>
      </c>
      <c r="C8" s="76" t="str">
        <f>VLOOKUP(B8,W_sheet_Car_Inventory!$A$2:$B$7,2,FALSE)</f>
        <v>General Number</v>
      </c>
      <c r="D8" s="76" t="str">
        <f t="shared" si="0"/>
        <v>SLV</v>
      </c>
      <c r="E8" s="76" t="str">
        <f>VLOOKUP(D8,W_sheet_Car_Inventory!$E$2:$F$12,2,FALSE)</f>
        <v>Saloon</v>
      </c>
      <c r="F8" s="76" t="str">
        <f t="shared" si="1"/>
        <v>00</v>
      </c>
      <c r="G8" s="76">
        <f t="shared" si="2"/>
        <v>25</v>
      </c>
      <c r="H8" s="75">
        <v>80685.8</v>
      </c>
      <c r="I8" s="9">
        <f t="shared" si="3"/>
        <v>3227.4320000000002</v>
      </c>
      <c r="J8" s="75" t="s">
        <v>403</v>
      </c>
      <c r="K8" s="75" t="s">
        <v>404</v>
      </c>
      <c r="L8" s="75">
        <v>100000</v>
      </c>
      <c r="M8" s="76" t="str">
        <f t="shared" si="4"/>
        <v>Covered</v>
      </c>
      <c r="N8" s="76" t="str">
        <f t="shared" si="5"/>
        <v>GM00SLVBLU019</v>
      </c>
    </row>
    <row r="9" spans="1:14" x14ac:dyDescent="0.25">
      <c r="A9" s="75" t="s">
        <v>405</v>
      </c>
      <c r="B9" s="75" t="str">
        <f t="shared" si="6"/>
        <v>CR</v>
      </c>
      <c r="C9" s="76" t="str">
        <f>VLOOKUP(B9,W_sheet_Car_Inventory!$A$2:$B$7,2,FALSE)</f>
        <v>Chrysler</v>
      </c>
      <c r="D9" s="76" t="str">
        <f t="shared" si="0"/>
        <v>PTC</v>
      </c>
      <c r="E9" s="76" t="str">
        <f>VLOOKUP(D9,W_sheet_Car_Inventory!$E$2:$F$12,2,FALSE)</f>
        <v>Pontiac</v>
      </c>
      <c r="F9" s="76" t="str">
        <f t="shared" si="1"/>
        <v>04</v>
      </c>
      <c r="G9" s="76">
        <f t="shared" si="2"/>
        <v>21</v>
      </c>
      <c r="H9" s="75">
        <v>64542</v>
      </c>
      <c r="I9" s="9">
        <f t="shared" si="3"/>
        <v>3073.4285714285716</v>
      </c>
      <c r="J9" s="75" t="s">
        <v>403</v>
      </c>
      <c r="K9" s="75" t="s">
        <v>104</v>
      </c>
      <c r="L9" s="75">
        <v>75000</v>
      </c>
      <c r="M9" s="76" t="str">
        <f t="shared" si="4"/>
        <v>Covered</v>
      </c>
      <c r="N9" s="76" t="str">
        <f t="shared" si="5"/>
        <v>CR04PTCBLU042</v>
      </c>
    </row>
    <row r="10" spans="1:14" x14ac:dyDescent="0.25">
      <c r="A10" s="75" t="s">
        <v>406</v>
      </c>
      <c r="B10" s="75" t="str">
        <f t="shared" si="6"/>
        <v>HO</v>
      </c>
      <c r="C10" s="76" t="str">
        <f>VLOOKUP(B10,W_sheet_Car_Inventory!$A$2:$B$7,2,FALSE)</f>
        <v>Honda</v>
      </c>
      <c r="D10" s="76" t="str">
        <f t="shared" si="0"/>
        <v>CIV</v>
      </c>
      <c r="E10" s="76" t="str">
        <f>VLOOKUP(D10,W_sheet_Car_Inventory!$E$2:$F$12,2,FALSE)</f>
        <v>Civic</v>
      </c>
      <c r="F10" s="76" t="str">
        <f t="shared" si="1"/>
        <v>99</v>
      </c>
      <c r="G10" s="76">
        <f t="shared" si="2"/>
        <v>26</v>
      </c>
      <c r="H10" s="75">
        <v>82374</v>
      </c>
      <c r="I10" s="9">
        <f t="shared" si="3"/>
        <v>3168.2307692307691</v>
      </c>
      <c r="J10" s="75" t="s">
        <v>392</v>
      </c>
      <c r="K10" s="75" t="s">
        <v>407</v>
      </c>
      <c r="L10" s="75">
        <v>75000</v>
      </c>
      <c r="M10" s="76" t="str">
        <f t="shared" si="4"/>
        <v>Not Covered</v>
      </c>
      <c r="N10" s="76" t="str">
        <f t="shared" si="5"/>
        <v>HO99CIVWHI030</v>
      </c>
    </row>
    <row r="11" spans="1:14" x14ac:dyDescent="0.25">
      <c r="A11" s="75" t="s">
        <v>408</v>
      </c>
      <c r="B11" s="75" t="str">
        <f t="shared" si="6"/>
        <v>HO</v>
      </c>
      <c r="C11" s="76" t="str">
        <f>VLOOKUP(B11,W_sheet_Car_Inventory!$A$2:$B$7,2,FALSE)</f>
        <v>Honda</v>
      </c>
      <c r="D11" s="76" t="str">
        <f t="shared" si="0"/>
        <v>ODY</v>
      </c>
      <c r="E11" s="76" t="str">
        <f>VLOOKUP(D11,W_sheet_Car_Inventory!$E$2:$F$12,2,FALSE)</f>
        <v>Odyssey</v>
      </c>
      <c r="F11" s="76" t="str">
        <f t="shared" si="1"/>
        <v>05</v>
      </c>
      <c r="G11" s="76">
        <f t="shared" si="2"/>
        <v>20</v>
      </c>
      <c r="H11" s="75">
        <v>60389.5</v>
      </c>
      <c r="I11" s="9">
        <f t="shared" si="3"/>
        <v>3019.4749999999999</v>
      </c>
      <c r="J11" s="75" t="s">
        <v>392</v>
      </c>
      <c r="K11" s="75" t="s">
        <v>98</v>
      </c>
      <c r="L11" s="75">
        <v>100000</v>
      </c>
      <c r="M11" s="76" t="str">
        <f t="shared" si="4"/>
        <v>Covered</v>
      </c>
      <c r="N11" s="76" t="str">
        <f t="shared" si="5"/>
        <v>HO05ODYWHI037</v>
      </c>
    </row>
    <row r="12" spans="1:14" x14ac:dyDescent="0.25">
      <c r="A12" s="75" t="s">
        <v>409</v>
      </c>
      <c r="B12" s="75" t="str">
        <f t="shared" si="6"/>
        <v>CR</v>
      </c>
      <c r="C12" s="76" t="str">
        <f>VLOOKUP(B12,W_sheet_Car_Inventory!$A$2:$B$7,2,FALSE)</f>
        <v>Chrysler</v>
      </c>
      <c r="D12" s="76" t="str">
        <f t="shared" si="0"/>
        <v>CAR</v>
      </c>
      <c r="E12" s="76" t="str">
        <f>VLOOKUP(D12,W_sheet_Car_Inventory!$E$2:$F$12,2,FALSE)</f>
        <v>Caravan</v>
      </c>
      <c r="F12" s="76" t="str">
        <f t="shared" si="1"/>
        <v>00</v>
      </c>
      <c r="G12" s="76">
        <f t="shared" si="2"/>
        <v>25</v>
      </c>
      <c r="H12" s="75">
        <v>77243.100000000006</v>
      </c>
      <c r="I12" s="9">
        <f t="shared" si="3"/>
        <v>3089.7240000000002</v>
      </c>
      <c r="J12" s="75" t="s">
        <v>397</v>
      </c>
      <c r="K12" s="75" t="s">
        <v>410</v>
      </c>
      <c r="L12" s="75">
        <v>75000</v>
      </c>
      <c r="M12" s="76" t="str">
        <f t="shared" si="4"/>
        <v>Not Covered</v>
      </c>
      <c r="N12" s="76" t="str">
        <f t="shared" si="5"/>
        <v>CR00CARBLA046</v>
      </c>
    </row>
    <row r="13" spans="1:14" x14ac:dyDescent="0.25">
      <c r="A13" s="75" t="s">
        <v>411</v>
      </c>
      <c r="B13" s="75" t="str">
        <f t="shared" si="6"/>
        <v>GM</v>
      </c>
      <c r="C13" s="76" t="str">
        <f>VLOOKUP(B13,W_sheet_Car_Inventory!$A$2:$B$7,2,FALSE)</f>
        <v>General Number</v>
      </c>
      <c r="D13" s="76" t="str">
        <f t="shared" si="0"/>
        <v>SLV</v>
      </c>
      <c r="E13" s="76" t="str">
        <f>VLOOKUP(D13,W_sheet_Car_Inventory!$E$2:$F$12,2,FALSE)</f>
        <v>Saloon</v>
      </c>
      <c r="F13" s="76" t="str">
        <f t="shared" si="1"/>
        <v>98</v>
      </c>
      <c r="G13" s="76">
        <f t="shared" si="2"/>
        <v>27</v>
      </c>
      <c r="H13" s="75">
        <v>83162.7</v>
      </c>
      <c r="I13" s="9">
        <f t="shared" si="3"/>
        <v>3080.1</v>
      </c>
      <c r="J13" s="75" t="s">
        <v>397</v>
      </c>
      <c r="K13" s="75" t="s">
        <v>412</v>
      </c>
      <c r="L13" s="75">
        <v>100000</v>
      </c>
      <c r="M13" s="76" t="str">
        <f t="shared" si="4"/>
        <v>Covered</v>
      </c>
      <c r="N13" s="76" t="str">
        <f t="shared" si="5"/>
        <v>GM98SLVBLA018</v>
      </c>
    </row>
    <row r="14" spans="1:14" x14ac:dyDescent="0.25">
      <c r="A14" s="75" t="s">
        <v>413</v>
      </c>
      <c r="B14" s="75" t="str">
        <f t="shared" si="6"/>
        <v>CR</v>
      </c>
      <c r="C14" s="76" t="str">
        <f>VLOOKUP(B14,W_sheet_Car_Inventory!$A$2:$B$7,2,FALSE)</f>
        <v>Chrysler</v>
      </c>
      <c r="D14" s="76" t="str">
        <f t="shared" si="0"/>
        <v>CAR</v>
      </c>
      <c r="E14" s="76" t="str">
        <f>VLOOKUP(D14,W_sheet_Car_Inventory!$E$2:$F$12,2,FALSE)</f>
        <v>Caravan</v>
      </c>
      <c r="F14" s="76" t="str">
        <f t="shared" si="1"/>
        <v>99</v>
      </c>
      <c r="G14" s="76">
        <f t="shared" si="2"/>
        <v>26</v>
      </c>
      <c r="H14" s="75">
        <v>79420.600000000006</v>
      </c>
      <c r="I14" s="9">
        <f t="shared" si="3"/>
        <v>3054.6384615384618</v>
      </c>
      <c r="J14" s="75" t="s">
        <v>389</v>
      </c>
      <c r="K14" s="75" t="s">
        <v>414</v>
      </c>
      <c r="L14" s="75">
        <v>75000</v>
      </c>
      <c r="M14" s="76" t="str">
        <f t="shared" si="4"/>
        <v>Not Covered</v>
      </c>
      <c r="N14" s="76" t="str">
        <f t="shared" si="5"/>
        <v>CR99CARGRE045</v>
      </c>
    </row>
    <row r="15" spans="1:14" x14ac:dyDescent="0.25">
      <c r="A15" s="75" t="s">
        <v>415</v>
      </c>
      <c r="B15" s="75" t="str">
        <f t="shared" si="6"/>
        <v>TY</v>
      </c>
      <c r="C15" s="76" t="str">
        <f>VLOOKUP(B15,W_sheet_Car_Inventory!$A$2:$B$7,2,FALSE)</f>
        <v>Toyota</v>
      </c>
      <c r="D15" s="76" t="str">
        <f t="shared" si="0"/>
        <v>CAM</v>
      </c>
      <c r="E15" s="76" t="str">
        <f>VLOOKUP(D15,W_sheet_Car_Inventory!$E$2:$F$12,2,FALSE)</f>
        <v>Camry</v>
      </c>
      <c r="F15" s="76" t="str">
        <f t="shared" si="1"/>
        <v>02</v>
      </c>
      <c r="G15" s="76">
        <f t="shared" si="2"/>
        <v>23</v>
      </c>
      <c r="H15" s="75">
        <v>67829.100000000006</v>
      </c>
      <c r="I15" s="9">
        <f t="shared" si="3"/>
        <v>2949.0913043478263</v>
      </c>
      <c r="J15" s="75" t="s">
        <v>397</v>
      </c>
      <c r="K15" s="75" t="s">
        <v>104</v>
      </c>
      <c r="L15" s="75">
        <v>100000</v>
      </c>
      <c r="M15" s="76" t="str">
        <f t="shared" si="4"/>
        <v>Covered</v>
      </c>
      <c r="N15" s="76" t="str">
        <f t="shared" si="5"/>
        <v>TY02CAMBLA023</v>
      </c>
    </row>
    <row r="16" spans="1:14" x14ac:dyDescent="0.25">
      <c r="A16" s="75" t="s">
        <v>416</v>
      </c>
      <c r="B16" s="75" t="str">
        <f t="shared" si="6"/>
        <v>HO</v>
      </c>
      <c r="C16" s="76" t="str">
        <f>VLOOKUP(B16,W_sheet_Car_Inventory!$A$2:$B$7,2,FALSE)</f>
        <v>Honda</v>
      </c>
      <c r="D16" s="76" t="str">
        <f t="shared" si="0"/>
        <v>ODY</v>
      </c>
      <c r="E16" s="76" t="str">
        <f>VLOOKUP(D16,W_sheet_Car_Inventory!$E$2:$F$12,2,FALSE)</f>
        <v>Odyssey</v>
      </c>
      <c r="F16" s="76" t="str">
        <f t="shared" si="1"/>
        <v>07</v>
      </c>
      <c r="G16" s="76">
        <f t="shared" si="2"/>
        <v>18</v>
      </c>
      <c r="H16" s="75">
        <v>50854.1</v>
      </c>
      <c r="I16" s="9">
        <f t="shared" si="3"/>
        <v>2825.2277777777776</v>
      </c>
      <c r="J16" s="75" t="s">
        <v>397</v>
      </c>
      <c r="K16" s="75" t="s">
        <v>398</v>
      </c>
      <c r="L16" s="75">
        <v>100000</v>
      </c>
      <c r="M16" s="76" t="str">
        <f t="shared" si="4"/>
        <v>Covered</v>
      </c>
      <c r="N16" s="76" t="str">
        <f t="shared" si="5"/>
        <v>HO07ODYBLA038</v>
      </c>
    </row>
    <row r="17" spans="1:14" x14ac:dyDescent="0.25">
      <c r="A17" s="75" t="s">
        <v>417</v>
      </c>
      <c r="B17" s="75" t="str">
        <f t="shared" si="6"/>
        <v>HO</v>
      </c>
      <c r="C17" s="76" t="str">
        <f>VLOOKUP(B17,W_sheet_Car_Inventory!$A$2:$B$7,2,FALSE)</f>
        <v>Honda</v>
      </c>
      <c r="D17" s="76" t="str">
        <f t="shared" si="0"/>
        <v>CIV</v>
      </c>
      <c r="E17" s="76" t="str">
        <f>VLOOKUP(D17,W_sheet_Car_Inventory!$E$2:$F$12,2,FALSE)</f>
        <v>Civic</v>
      </c>
      <c r="F17" s="76" t="str">
        <f t="shared" si="1"/>
        <v>01</v>
      </c>
      <c r="G17" s="76">
        <f t="shared" si="2"/>
        <v>24</v>
      </c>
      <c r="H17" s="75">
        <v>69891.899999999994</v>
      </c>
      <c r="I17" s="9">
        <f t="shared" si="3"/>
        <v>2912.1624999999999</v>
      </c>
      <c r="J17" s="75" t="s">
        <v>403</v>
      </c>
      <c r="K17" s="75" t="s">
        <v>410</v>
      </c>
      <c r="L17" s="75">
        <v>75000</v>
      </c>
      <c r="M17" s="76" t="str">
        <f t="shared" si="4"/>
        <v>Covered</v>
      </c>
      <c r="N17" s="76" t="str">
        <f t="shared" si="5"/>
        <v>HO01CIVBLU031</v>
      </c>
    </row>
    <row r="18" spans="1:14" x14ac:dyDescent="0.25">
      <c r="A18" s="75" t="s">
        <v>418</v>
      </c>
      <c r="B18" s="75" t="str">
        <f t="shared" si="6"/>
        <v>HO</v>
      </c>
      <c r="C18" s="76" t="str">
        <f>VLOOKUP(B18,W_sheet_Car_Inventory!$A$2:$B$7,2,FALSE)</f>
        <v>Honda</v>
      </c>
      <c r="D18" s="76" t="str">
        <f t="shared" si="0"/>
        <v>ODY</v>
      </c>
      <c r="E18" s="76" t="str">
        <f>VLOOKUP(D18,W_sheet_Car_Inventory!$E$2:$F$12,2,FALSE)</f>
        <v>Odyssey</v>
      </c>
      <c r="F18" s="76" t="str">
        <f t="shared" si="1"/>
        <v>01</v>
      </c>
      <c r="G18" s="76">
        <f t="shared" si="2"/>
        <v>24</v>
      </c>
      <c r="H18" s="75">
        <v>68658.899999999994</v>
      </c>
      <c r="I18" s="9">
        <f t="shared" si="3"/>
        <v>2860.7874999999999</v>
      </c>
      <c r="J18" s="75" t="s">
        <v>397</v>
      </c>
      <c r="K18" s="75" t="s">
        <v>104</v>
      </c>
      <c r="L18" s="75">
        <v>100000</v>
      </c>
      <c r="M18" s="76" t="str">
        <f t="shared" si="4"/>
        <v>Covered</v>
      </c>
      <c r="N18" s="76" t="str">
        <f t="shared" si="5"/>
        <v>HO01ODYBLA040</v>
      </c>
    </row>
    <row r="19" spans="1:14" x14ac:dyDescent="0.25">
      <c r="A19" s="75" t="s">
        <v>419</v>
      </c>
      <c r="B19" s="75" t="str">
        <f t="shared" si="6"/>
        <v>FD</v>
      </c>
      <c r="C19" s="76" t="str">
        <f>VLOOKUP(B19,W_sheet_Car_Inventory!$A$2:$B$7,2,FALSE)</f>
        <v>Ford</v>
      </c>
      <c r="D19" s="76" t="str">
        <f t="shared" si="0"/>
        <v>FCS</v>
      </c>
      <c r="E19" s="76" t="str">
        <f>VLOOKUP(D19,W_sheet_Car_Inventory!$E$2:$F$12,2,FALSE)</f>
        <v>Focus</v>
      </c>
      <c r="F19" s="76" t="str">
        <f t="shared" si="1"/>
        <v>06</v>
      </c>
      <c r="G19" s="76">
        <f t="shared" si="2"/>
        <v>19</v>
      </c>
      <c r="H19" s="75">
        <v>52229.5</v>
      </c>
      <c r="I19" s="9">
        <f t="shared" si="3"/>
        <v>2748.9210526315787</v>
      </c>
      <c r="J19" s="75" t="s">
        <v>389</v>
      </c>
      <c r="K19" s="75" t="s">
        <v>420</v>
      </c>
      <c r="L19" s="75">
        <v>75000</v>
      </c>
      <c r="M19" s="76" t="str">
        <f t="shared" si="4"/>
        <v>Covered</v>
      </c>
      <c r="N19" s="76" t="str">
        <f t="shared" si="5"/>
        <v>FD06FCSGRE007</v>
      </c>
    </row>
    <row r="20" spans="1:14" x14ac:dyDescent="0.25">
      <c r="A20" s="75" t="s">
        <v>421</v>
      </c>
      <c r="B20" s="75" t="str">
        <f t="shared" si="6"/>
        <v>TY</v>
      </c>
      <c r="C20" s="76" t="str">
        <f>VLOOKUP(B20,W_sheet_Car_Inventory!$A$2:$B$7,2,FALSE)</f>
        <v>Toyota</v>
      </c>
      <c r="D20" s="76" t="str">
        <f t="shared" si="0"/>
        <v>COR</v>
      </c>
      <c r="E20" s="76" t="str">
        <f>VLOOKUP(D20,W_sheet_Car_Inventory!$E$2:$F$12,2,FALSE)</f>
        <v>Corolla</v>
      </c>
      <c r="F20" s="76" t="str">
        <f t="shared" si="1"/>
        <v>02</v>
      </c>
      <c r="G20" s="76">
        <f t="shared" si="2"/>
        <v>23</v>
      </c>
      <c r="H20" s="75">
        <v>64467.4</v>
      </c>
      <c r="I20" s="9">
        <f t="shared" si="3"/>
        <v>2802.9304347826087</v>
      </c>
      <c r="J20" s="75" t="s">
        <v>422</v>
      </c>
      <c r="K20" s="75" t="s">
        <v>400</v>
      </c>
      <c r="L20" s="75">
        <v>100000</v>
      </c>
      <c r="M20" s="76" t="str">
        <f t="shared" si="4"/>
        <v>Covered</v>
      </c>
      <c r="N20" s="76" t="str">
        <f t="shared" si="5"/>
        <v>TY02CORRED025</v>
      </c>
    </row>
    <row r="21" spans="1:14" x14ac:dyDescent="0.25">
      <c r="A21" s="75" t="s">
        <v>423</v>
      </c>
      <c r="B21" s="75" t="str">
        <f t="shared" si="6"/>
        <v>FD</v>
      </c>
      <c r="C21" s="76" t="str">
        <f>VLOOKUP(B21,W_sheet_Car_Inventory!$A$2:$B$7,2,FALSE)</f>
        <v>Ford</v>
      </c>
      <c r="D21" s="76" t="str">
        <f t="shared" si="0"/>
        <v>MTG</v>
      </c>
      <c r="E21" s="76" t="str">
        <f>VLOOKUP(D21,W_sheet_Car_Inventory!$E$2:$F$12,2,FALSE)</f>
        <v>Mustang</v>
      </c>
      <c r="F21" s="76" t="str">
        <f t="shared" si="1"/>
        <v>08</v>
      </c>
      <c r="G21" s="76">
        <f t="shared" si="2"/>
        <v>17</v>
      </c>
      <c r="H21" s="75">
        <v>44946.5</v>
      </c>
      <c r="I21" s="9">
        <f t="shared" si="3"/>
        <v>2643.9117647058824</v>
      </c>
      <c r="J21" s="75" t="s">
        <v>389</v>
      </c>
      <c r="K21" s="75" t="s">
        <v>420</v>
      </c>
      <c r="L21" s="75">
        <v>50000</v>
      </c>
      <c r="M21" s="76" t="str">
        <f t="shared" si="4"/>
        <v>Covered</v>
      </c>
      <c r="N21" s="76" t="str">
        <f t="shared" si="5"/>
        <v>FD08MTGGRE003</v>
      </c>
    </row>
    <row r="22" spans="1:14" x14ac:dyDescent="0.25">
      <c r="A22" s="75" t="s">
        <v>424</v>
      </c>
      <c r="B22" s="75" t="str">
        <f t="shared" si="6"/>
        <v>FD</v>
      </c>
      <c r="C22" s="76" t="str">
        <f>VLOOKUP(B22,W_sheet_Car_Inventory!$A$2:$B$7,2,FALSE)</f>
        <v>Ford</v>
      </c>
      <c r="D22" s="76" t="str">
        <f t="shared" si="0"/>
        <v>FCS</v>
      </c>
      <c r="E22" s="76" t="str">
        <f>VLOOKUP(D22,W_sheet_Car_Inventory!$E$2:$F$12,2,FALSE)</f>
        <v>Focus</v>
      </c>
      <c r="F22" s="76" t="str">
        <f t="shared" si="1"/>
        <v>13</v>
      </c>
      <c r="G22" s="76">
        <f t="shared" si="2"/>
        <v>12</v>
      </c>
      <c r="H22" s="75">
        <v>27637.1</v>
      </c>
      <c r="I22" s="9">
        <f t="shared" si="3"/>
        <v>2303.0916666666667</v>
      </c>
      <c r="J22" s="75" t="s">
        <v>397</v>
      </c>
      <c r="K22" s="75" t="s">
        <v>104</v>
      </c>
      <c r="L22" s="75">
        <v>75000</v>
      </c>
      <c r="M22" s="76" t="str">
        <f t="shared" si="4"/>
        <v>Covered</v>
      </c>
      <c r="N22" s="76" t="str">
        <f t="shared" si="5"/>
        <v>FD13FCSBLA009</v>
      </c>
    </row>
    <row r="23" spans="1:14" x14ac:dyDescent="0.25">
      <c r="A23" s="75" t="s">
        <v>425</v>
      </c>
      <c r="B23" s="75" t="str">
        <f t="shared" si="6"/>
        <v>FD</v>
      </c>
      <c r="C23" s="76" t="str">
        <f>VLOOKUP(B23,W_sheet_Car_Inventory!$A$2:$B$7,2,FALSE)</f>
        <v>Ford</v>
      </c>
      <c r="D23" s="76" t="str">
        <f t="shared" si="0"/>
        <v>FCS</v>
      </c>
      <c r="E23" s="76" t="str">
        <f>VLOOKUP(D23,W_sheet_Car_Inventory!$E$2:$F$12,2,FALSE)</f>
        <v>Focus</v>
      </c>
      <c r="F23" s="76" t="str">
        <f t="shared" si="1"/>
        <v>13</v>
      </c>
      <c r="G23" s="76">
        <f t="shared" si="2"/>
        <v>12</v>
      </c>
      <c r="H23" s="75">
        <v>27534.799999999999</v>
      </c>
      <c r="I23" s="9">
        <f t="shared" si="3"/>
        <v>2294.5666666666666</v>
      </c>
      <c r="J23" s="75" t="s">
        <v>392</v>
      </c>
      <c r="K23" s="75" t="s">
        <v>426</v>
      </c>
      <c r="L23" s="75">
        <v>75000</v>
      </c>
      <c r="M23" s="76" t="str">
        <f t="shared" si="4"/>
        <v>Covered</v>
      </c>
      <c r="N23" s="76" t="str">
        <f t="shared" si="5"/>
        <v>FD13FCSWHI010</v>
      </c>
    </row>
    <row r="24" spans="1:14" x14ac:dyDescent="0.25">
      <c r="A24" s="75" t="s">
        <v>458</v>
      </c>
      <c r="B24" s="75" t="str">
        <f t="shared" si="6"/>
        <v>HO</v>
      </c>
      <c r="C24" s="76" t="str">
        <f>VLOOKUP(B24,W_sheet_Car_Inventory!$A$2:$B$7,2,FALSE)</f>
        <v>Honda</v>
      </c>
      <c r="D24" s="76" t="str">
        <f t="shared" si="0"/>
        <v>ODY</v>
      </c>
      <c r="E24" s="76" t="str">
        <f>VLOOKUP(D24,W_sheet_Car_Inventory!$E$2:$F$12,2,FALSE)</f>
        <v>Odyssey</v>
      </c>
      <c r="F24" s="76" t="str">
        <f t="shared" si="1"/>
        <v>08</v>
      </c>
      <c r="G24" s="76">
        <f t="shared" si="2"/>
        <v>17</v>
      </c>
      <c r="H24" s="75">
        <v>42504.6</v>
      </c>
      <c r="I24" s="9">
        <f t="shared" si="3"/>
        <v>2500.2705882352939</v>
      </c>
      <c r="J24" s="75" t="s">
        <v>392</v>
      </c>
      <c r="K24" s="75" t="s">
        <v>407</v>
      </c>
      <c r="L24" s="75">
        <v>100000</v>
      </c>
      <c r="M24" s="76" t="str">
        <f t="shared" si="4"/>
        <v>Covered</v>
      </c>
      <c r="N24" s="76" t="str">
        <f t="shared" si="5"/>
        <v>HO08ODYWHI039</v>
      </c>
    </row>
    <row r="25" spans="1:14" x14ac:dyDescent="0.25">
      <c r="A25" s="75" t="s">
        <v>427</v>
      </c>
      <c r="B25" s="75" t="str">
        <f t="shared" si="6"/>
        <v>TY</v>
      </c>
      <c r="C25" s="76" t="str">
        <f>VLOOKUP(B25,W_sheet_Car_Inventory!$A$2:$B$7,2,FALSE)</f>
        <v>Toyota</v>
      </c>
      <c r="D25" s="76" t="str">
        <f t="shared" si="0"/>
        <v>COR</v>
      </c>
      <c r="E25" s="76" t="str">
        <f>VLOOKUP(D25,W_sheet_Car_Inventory!$E$2:$F$12,2,FALSE)</f>
        <v>Corolla</v>
      </c>
      <c r="F25" s="76" t="str">
        <f t="shared" si="1"/>
        <v>12</v>
      </c>
      <c r="G25" s="76">
        <f t="shared" si="2"/>
        <v>13</v>
      </c>
      <c r="H25" s="75">
        <v>29601.9</v>
      </c>
      <c r="I25" s="9">
        <f t="shared" si="3"/>
        <v>2277.0692307692307</v>
      </c>
      <c r="J25" s="75" t="s">
        <v>397</v>
      </c>
      <c r="K25" s="75" t="s">
        <v>412</v>
      </c>
      <c r="L25" s="75">
        <v>100000</v>
      </c>
      <c r="M25" s="76" t="str">
        <f t="shared" si="4"/>
        <v>Covered</v>
      </c>
      <c r="N25" s="76" t="str">
        <f t="shared" si="5"/>
        <v>TY12CORBLA028</v>
      </c>
    </row>
    <row r="26" spans="1:14" x14ac:dyDescent="0.25">
      <c r="A26" s="75" t="s">
        <v>428</v>
      </c>
      <c r="B26" s="75" t="str">
        <f t="shared" si="6"/>
        <v>CR</v>
      </c>
      <c r="C26" s="76" t="str">
        <f>VLOOKUP(B26,W_sheet_Car_Inventory!$A$2:$B$7,2,FALSE)</f>
        <v>Chrysler</v>
      </c>
      <c r="D26" s="76" t="str">
        <f t="shared" si="0"/>
        <v>CAR</v>
      </c>
      <c r="E26" s="76" t="str">
        <f>VLOOKUP(D26,W_sheet_Car_Inventory!$E$2:$F$12,2,FALSE)</f>
        <v>Caravan</v>
      </c>
      <c r="F26" s="76" t="str">
        <f t="shared" si="1"/>
        <v>04</v>
      </c>
      <c r="G26" s="76">
        <f t="shared" si="2"/>
        <v>21</v>
      </c>
      <c r="H26" s="75">
        <v>52699.4</v>
      </c>
      <c r="I26" s="9">
        <f t="shared" si="3"/>
        <v>2509.4952380952382</v>
      </c>
      <c r="J26" s="75" t="s">
        <v>422</v>
      </c>
      <c r="K26" s="75" t="s">
        <v>393</v>
      </c>
      <c r="L26" s="75">
        <v>75000</v>
      </c>
      <c r="M26" s="76" t="str">
        <f t="shared" si="4"/>
        <v>Covered</v>
      </c>
      <c r="N26" s="76" t="str">
        <f t="shared" si="5"/>
        <v>CR04CARRED048</v>
      </c>
    </row>
    <row r="27" spans="1:14" x14ac:dyDescent="0.25">
      <c r="A27" s="75" t="s">
        <v>429</v>
      </c>
      <c r="B27" s="75" t="str">
        <f t="shared" si="6"/>
        <v>FD</v>
      </c>
      <c r="C27" s="76" t="str">
        <f>VLOOKUP(B27,W_sheet_Car_Inventory!$A$2:$B$7,2,FALSE)</f>
        <v>Ford</v>
      </c>
      <c r="D27" s="76" t="str">
        <f t="shared" si="0"/>
        <v>FCS</v>
      </c>
      <c r="E27" s="76" t="str">
        <f>VLOOKUP(D27,W_sheet_Car_Inventory!$E$2:$F$12,2,FALSE)</f>
        <v>Focus</v>
      </c>
      <c r="F27" s="76" t="str">
        <f t="shared" si="1"/>
        <v>06</v>
      </c>
      <c r="G27" s="76">
        <f t="shared" si="2"/>
        <v>19</v>
      </c>
      <c r="H27" s="75">
        <v>46311.4</v>
      </c>
      <c r="I27" s="9">
        <f t="shared" si="3"/>
        <v>2437.4421052631578</v>
      </c>
      <c r="J27" s="75" t="s">
        <v>389</v>
      </c>
      <c r="K27" s="75" t="s">
        <v>395</v>
      </c>
      <c r="L27" s="75">
        <v>75000</v>
      </c>
      <c r="M27" s="76" t="str">
        <f t="shared" si="4"/>
        <v>Covered</v>
      </c>
      <c r="N27" s="76" t="str">
        <f t="shared" si="5"/>
        <v>FD06FCSGRE006</v>
      </c>
    </row>
    <row r="28" spans="1:14" x14ac:dyDescent="0.25">
      <c r="A28" s="75" t="s">
        <v>430</v>
      </c>
      <c r="B28" s="75" t="str">
        <f t="shared" si="6"/>
        <v>FD</v>
      </c>
      <c r="C28" s="76" t="str">
        <f>VLOOKUP(B28,W_sheet_Car_Inventory!$A$2:$B$7,2,FALSE)</f>
        <v>Ford</v>
      </c>
      <c r="D28" s="76" t="str">
        <f t="shared" si="0"/>
        <v>MTG</v>
      </c>
      <c r="E28" s="76" t="str">
        <f>VLOOKUP(D28,W_sheet_Car_Inventory!$E$2:$F$12,2,FALSE)</f>
        <v>Mustang</v>
      </c>
      <c r="F28" s="76" t="str">
        <f t="shared" si="1"/>
        <v>06</v>
      </c>
      <c r="G28" s="76">
        <f t="shared" si="2"/>
        <v>19</v>
      </c>
      <c r="H28" s="75">
        <v>44974.8</v>
      </c>
      <c r="I28" s="9">
        <f t="shared" si="3"/>
        <v>2367.0947368421052</v>
      </c>
      <c r="J28" s="75" t="s">
        <v>392</v>
      </c>
      <c r="K28" s="75" t="s">
        <v>431</v>
      </c>
      <c r="L28" s="75">
        <v>50000</v>
      </c>
      <c r="M28" s="76" t="str">
        <f t="shared" si="4"/>
        <v>Covered</v>
      </c>
      <c r="N28" s="76" t="str">
        <f t="shared" si="5"/>
        <v>FD06MTGWHI002</v>
      </c>
    </row>
    <row r="29" spans="1:14" x14ac:dyDescent="0.25">
      <c r="A29" s="75" t="s">
        <v>432</v>
      </c>
      <c r="B29" s="75" t="str">
        <f t="shared" si="6"/>
        <v>CR</v>
      </c>
      <c r="C29" s="76" t="str">
        <f>VLOOKUP(B29,W_sheet_Car_Inventory!$A$2:$B$7,2,FALSE)</f>
        <v>Chrysler</v>
      </c>
      <c r="D29" s="76" t="str">
        <f t="shared" si="0"/>
        <v>PTC</v>
      </c>
      <c r="E29" s="76" t="str">
        <f>VLOOKUP(D29,W_sheet_Car_Inventory!$E$2:$F$12,2,FALSE)</f>
        <v>Pontiac</v>
      </c>
      <c r="F29" s="76" t="str">
        <f t="shared" si="1"/>
        <v>07</v>
      </c>
      <c r="G29" s="76">
        <f t="shared" si="2"/>
        <v>18</v>
      </c>
      <c r="H29" s="75">
        <v>42074.2</v>
      </c>
      <c r="I29" s="9">
        <f t="shared" si="3"/>
        <v>2337.4555555555553</v>
      </c>
      <c r="J29" s="75" t="s">
        <v>389</v>
      </c>
      <c r="K29" s="75" t="s">
        <v>400</v>
      </c>
      <c r="L29" s="75">
        <v>75000</v>
      </c>
      <c r="M29" s="76" t="str">
        <f t="shared" si="4"/>
        <v>Covered</v>
      </c>
      <c r="N29" s="76" t="str">
        <f t="shared" si="5"/>
        <v>CR07PTCGRE043</v>
      </c>
    </row>
    <row r="30" spans="1:14" x14ac:dyDescent="0.25">
      <c r="A30" s="75" t="s">
        <v>433</v>
      </c>
      <c r="B30" s="75" t="str">
        <f t="shared" si="6"/>
        <v>HO</v>
      </c>
      <c r="C30" s="76" t="str">
        <f>VLOOKUP(B30,W_sheet_Car_Inventory!$A$2:$B$7,2,FALSE)</f>
        <v>Honda</v>
      </c>
      <c r="D30" s="76" t="str">
        <f t="shared" si="0"/>
        <v>CIV</v>
      </c>
      <c r="E30" s="76" t="str">
        <f>VLOOKUP(D30,W_sheet_Car_Inventory!$E$2:$F$12,2,FALSE)</f>
        <v>Civic</v>
      </c>
      <c r="F30" s="76" t="str">
        <f t="shared" si="1"/>
        <v>10</v>
      </c>
      <c r="G30" s="76">
        <f t="shared" si="2"/>
        <v>15</v>
      </c>
      <c r="H30" s="75">
        <v>33477.199999999997</v>
      </c>
      <c r="I30" s="9">
        <f t="shared" si="3"/>
        <v>2231.813333333333</v>
      </c>
      <c r="J30" s="75" t="s">
        <v>397</v>
      </c>
      <c r="K30" s="75" t="s">
        <v>398</v>
      </c>
      <c r="L30" s="75">
        <v>75000</v>
      </c>
      <c r="M30" s="76" t="str">
        <f t="shared" si="4"/>
        <v>Covered</v>
      </c>
      <c r="N30" s="76" t="str">
        <f t="shared" si="5"/>
        <v>HO10CIVBLA033</v>
      </c>
    </row>
    <row r="31" spans="1:14" x14ac:dyDescent="0.25">
      <c r="A31" s="75" t="s">
        <v>434</v>
      </c>
      <c r="B31" s="75" t="str">
        <f t="shared" si="6"/>
        <v>HO</v>
      </c>
      <c r="C31" s="76" t="str">
        <f>VLOOKUP(B31,W_sheet_Car_Inventory!$A$2:$B$7,2,FALSE)</f>
        <v>Honda</v>
      </c>
      <c r="D31" s="76" t="str">
        <f t="shared" si="0"/>
        <v>CIV</v>
      </c>
      <c r="E31" s="76" t="str">
        <f>VLOOKUP(D31,W_sheet_Car_Inventory!$E$2:$F$12,2,FALSE)</f>
        <v>Civic</v>
      </c>
      <c r="F31" s="76" t="str">
        <f t="shared" si="1"/>
        <v>11</v>
      </c>
      <c r="G31" s="76">
        <f t="shared" si="2"/>
        <v>14</v>
      </c>
      <c r="H31" s="75">
        <v>30555.3</v>
      </c>
      <c r="I31" s="9">
        <f t="shared" si="3"/>
        <v>2182.5214285714287</v>
      </c>
      <c r="J31" s="75" t="s">
        <v>397</v>
      </c>
      <c r="K31" s="75" t="s">
        <v>420</v>
      </c>
      <c r="L31" s="75">
        <v>75000</v>
      </c>
      <c r="M31" s="76" t="str">
        <f t="shared" si="4"/>
        <v>Covered</v>
      </c>
      <c r="N31" s="76" t="str">
        <f t="shared" si="5"/>
        <v>HO11CIVBLA034</v>
      </c>
    </row>
    <row r="32" spans="1:14" x14ac:dyDescent="0.25">
      <c r="A32" s="75" t="s">
        <v>435</v>
      </c>
      <c r="B32" s="75" t="str">
        <f t="shared" si="6"/>
        <v>FD</v>
      </c>
      <c r="C32" s="76" t="str">
        <f>VLOOKUP(B32,W_sheet_Car_Inventory!$A$2:$B$7,2,FALSE)</f>
        <v>Ford</v>
      </c>
      <c r="D32" s="76" t="str">
        <f t="shared" si="0"/>
        <v>FCS</v>
      </c>
      <c r="E32" s="76" t="str">
        <f>VLOOKUP(D32,W_sheet_Car_Inventory!$E$2:$F$12,2,FALSE)</f>
        <v>Focus</v>
      </c>
      <c r="F32" s="76" t="str">
        <f t="shared" si="1"/>
        <v>09</v>
      </c>
      <c r="G32" s="76">
        <f t="shared" si="2"/>
        <v>16</v>
      </c>
      <c r="H32" s="75">
        <v>35137</v>
      </c>
      <c r="I32" s="9">
        <f t="shared" si="3"/>
        <v>2196.0625</v>
      </c>
      <c r="J32" s="75" t="s">
        <v>397</v>
      </c>
      <c r="K32" s="75" t="s">
        <v>98</v>
      </c>
      <c r="L32" s="75">
        <v>75000</v>
      </c>
      <c r="M32" s="76" t="str">
        <f t="shared" si="4"/>
        <v>Covered</v>
      </c>
      <c r="N32" s="76" t="str">
        <f t="shared" si="5"/>
        <v>FD09FCSBLA008</v>
      </c>
    </row>
    <row r="33" spans="1:14" x14ac:dyDescent="0.25">
      <c r="A33" s="75" t="s">
        <v>436</v>
      </c>
      <c r="B33" s="75" t="str">
        <f t="shared" si="6"/>
        <v>FD</v>
      </c>
      <c r="C33" s="76" t="str">
        <f>VLOOKUP(B33,W_sheet_Car_Inventory!$A$2:$B$7,2,FALSE)</f>
        <v>Ford</v>
      </c>
      <c r="D33" s="76" t="str">
        <f t="shared" si="0"/>
        <v>MTG</v>
      </c>
      <c r="E33" s="76" t="str">
        <f>VLOOKUP(D33,W_sheet_Car_Inventory!$E$2:$F$12,2,FALSE)</f>
        <v>Mustang</v>
      </c>
      <c r="F33" s="76" t="str">
        <f t="shared" si="1"/>
        <v>08</v>
      </c>
      <c r="G33" s="76">
        <f t="shared" si="2"/>
        <v>17</v>
      </c>
      <c r="H33" s="75">
        <v>37558.800000000003</v>
      </c>
      <c r="I33" s="9">
        <f t="shared" si="3"/>
        <v>2209.3411764705884</v>
      </c>
      <c r="J33" s="75" t="s">
        <v>397</v>
      </c>
      <c r="K33" s="75" t="s">
        <v>410</v>
      </c>
      <c r="L33" s="75">
        <v>50000</v>
      </c>
      <c r="M33" s="76" t="str">
        <f t="shared" si="4"/>
        <v>Covered</v>
      </c>
      <c r="N33" s="76" t="str">
        <f t="shared" si="5"/>
        <v>FD08MTGBLA004</v>
      </c>
    </row>
    <row r="34" spans="1:14" x14ac:dyDescent="0.25">
      <c r="A34" s="75" t="s">
        <v>437</v>
      </c>
      <c r="B34" s="75" t="str">
        <f t="shared" si="6"/>
        <v>HY</v>
      </c>
      <c r="C34" s="76" t="str">
        <f>VLOOKUP(B34,W_sheet_Car_Inventory!$A$2:$B$7,2,FALSE)</f>
        <v>Hyundai</v>
      </c>
      <c r="D34" s="76" t="str">
        <f t="shared" si="0"/>
        <v>ELA</v>
      </c>
      <c r="E34" s="76" t="str">
        <f>VLOOKUP(D34,W_sheet_Car_Inventory!$E$2:$F$12,2,FALSE)</f>
        <v>Elantra</v>
      </c>
      <c r="F34" s="76" t="str">
        <f t="shared" si="1"/>
        <v>11</v>
      </c>
      <c r="G34" s="76">
        <f t="shared" si="2"/>
        <v>14</v>
      </c>
      <c r="H34" s="75">
        <v>29102.3</v>
      </c>
      <c r="I34" s="9">
        <f t="shared" si="3"/>
        <v>2078.735714285714</v>
      </c>
      <c r="J34" s="75" t="s">
        <v>397</v>
      </c>
      <c r="K34" s="75" t="s">
        <v>438</v>
      </c>
      <c r="L34" s="75">
        <v>100000</v>
      </c>
      <c r="M34" s="76" t="str">
        <f t="shared" si="4"/>
        <v>Covered</v>
      </c>
      <c r="N34" s="76" t="str">
        <f t="shared" si="5"/>
        <v>HY11ELABLA049</v>
      </c>
    </row>
    <row r="35" spans="1:14" x14ac:dyDescent="0.25">
      <c r="A35" s="75" t="s">
        <v>439</v>
      </c>
      <c r="B35" s="75" t="str">
        <f t="shared" si="6"/>
        <v>FD</v>
      </c>
      <c r="C35" s="76" t="str">
        <f>VLOOKUP(B35,W_sheet_Car_Inventory!$A$2:$B$7,2,FALSE)</f>
        <v>Ford</v>
      </c>
      <c r="D35" s="76" t="str">
        <f t="shared" si="0"/>
        <v>MTG</v>
      </c>
      <c r="E35" s="76" t="str">
        <f>VLOOKUP(D35,W_sheet_Car_Inventory!$E$2:$F$12,2,FALSE)</f>
        <v>Mustang</v>
      </c>
      <c r="F35" s="76" t="str">
        <f t="shared" si="1"/>
        <v>08</v>
      </c>
      <c r="G35" s="76">
        <f t="shared" si="2"/>
        <v>17</v>
      </c>
      <c r="H35" s="75">
        <v>36438.5</v>
      </c>
      <c r="I35" s="9">
        <f t="shared" si="3"/>
        <v>2143.4411764705883</v>
      </c>
      <c r="J35" s="75" t="s">
        <v>392</v>
      </c>
      <c r="K35" s="75" t="s">
        <v>104</v>
      </c>
      <c r="L35" s="75">
        <v>50000</v>
      </c>
      <c r="M35" s="76" t="str">
        <f t="shared" si="4"/>
        <v>Covered</v>
      </c>
      <c r="N35" s="76" t="str">
        <f t="shared" si="5"/>
        <v>FD08MTGWHI005</v>
      </c>
    </row>
    <row r="36" spans="1:14" x14ac:dyDescent="0.25">
      <c r="A36" s="75" t="s">
        <v>440</v>
      </c>
      <c r="B36" s="75" t="str">
        <f t="shared" si="6"/>
        <v>GM</v>
      </c>
      <c r="C36" s="76" t="str">
        <f>VLOOKUP(B36,W_sheet_Car_Inventory!$A$2:$B$7,2,FALSE)</f>
        <v>General Number</v>
      </c>
      <c r="D36" s="76" t="str">
        <f t="shared" si="0"/>
        <v>SLV</v>
      </c>
      <c r="E36" s="76" t="str">
        <f>VLOOKUP(D36,W_sheet_Car_Inventory!$E$2:$F$12,2,FALSE)</f>
        <v>Saloon</v>
      </c>
      <c r="F36" s="76" t="str">
        <f t="shared" si="1"/>
        <v>10</v>
      </c>
      <c r="G36" s="76">
        <f t="shared" si="2"/>
        <v>15</v>
      </c>
      <c r="H36" s="75">
        <v>31144.400000000001</v>
      </c>
      <c r="I36" s="9">
        <f t="shared" si="3"/>
        <v>2076.2933333333335</v>
      </c>
      <c r="J36" s="75" t="s">
        <v>397</v>
      </c>
      <c r="K36" s="75" t="s">
        <v>414</v>
      </c>
      <c r="L36" s="75">
        <v>100000</v>
      </c>
      <c r="M36" s="76" t="str">
        <f t="shared" si="4"/>
        <v>Covered</v>
      </c>
      <c r="N36" s="76" t="str">
        <f t="shared" si="5"/>
        <v>GM10SLVBLA017</v>
      </c>
    </row>
    <row r="37" spans="1:14" x14ac:dyDescent="0.25">
      <c r="A37" s="75" t="s">
        <v>441</v>
      </c>
      <c r="B37" s="75" t="str">
        <f t="shared" si="6"/>
        <v>FD</v>
      </c>
      <c r="C37" s="76" t="str">
        <f>VLOOKUP(B37,W_sheet_Car_Inventory!$A$2:$B$7,2,FALSE)</f>
        <v>Ford</v>
      </c>
      <c r="D37" s="76" t="str">
        <f t="shared" si="0"/>
        <v>MTG</v>
      </c>
      <c r="E37" s="76" t="str">
        <f>VLOOKUP(D37,W_sheet_Car_Inventory!$E$2:$F$12,2,FALSE)</f>
        <v>Mustang</v>
      </c>
      <c r="F37" s="76" t="str">
        <f t="shared" si="1"/>
        <v>06</v>
      </c>
      <c r="G37" s="76">
        <f t="shared" si="2"/>
        <v>19</v>
      </c>
      <c r="H37" s="75">
        <v>40326.800000000003</v>
      </c>
      <c r="I37" s="9">
        <f t="shared" si="3"/>
        <v>2122.4631578947369</v>
      </c>
      <c r="J37" s="75" t="s">
        <v>397</v>
      </c>
      <c r="K37" s="75" t="s">
        <v>104</v>
      </c>
      <c r="L37" s="75">
        <v>50000</v>
      </c>
      <c r="M37" s="76" t="str">
        <f t="shared" si="4"/>
        <v>Covered</v>
      </c>
      <c r="N37" s="76" t="str">
        <f t="shared" si="5"/>
        <v>FD06MTGBLA001</v>
      </c>
    </row>
    <row r="38" spans="1:14" x14ac:dyDescent="0.25">
      <c r="A38" s="75" t="s">
        <v>442</v>
      </c>
      <c r="B38" s="75" t="str">
        <f t="shared" si="6"/>
        <v>FD</v>
      </c>
      <c r="C38" s="76" t="str">
        <f>VLOOKUP(B38,W_sheet_Car_Inventory!$A$2:$B$7,2,FALSE)</f>
        <v>Ford</v>
      </c>
      <c r="D38" s="76" t="str">
        <f t="shared" si="0"/>
        <v>FCS</v>
      </c>
      <c r="E38" s="76" t="str">
        <f>VLOOKUP(D38,W_sheet_Car_Inventory!$E$2:$F$12,2,FALSE)</f>
        <v>Focus</v>
      </c>
      <c r="F38" s="76" t="str">
        <f t="shared" si="1"/>
        <v>13</v>
      </c>
      <c r="G38" s="76">
        <f t="shared" si="2"/>
        <v>12</v>
      </c>
      <c r="H38" s="75">
        <v>22521.599999999999</v>
      </c>
      <c r="I38" s="9">
        <f t="shared" si="3"/>
        <v>1876.8</v>
      </c>
      <c r="J38" s="75" t="s">
        <v>397</v>
      </c>
      <c r="K38" s="75" t="s">
        <v>404</v>
      </c>
      <c r="L38" s="75">
        <v>75000</v>
      </c>
      <c r="M38" s="76" t="str">
        <f t="shared" si="4"/>
        <v>Covered</v>
      </c>
      <c r="N38" s="76" t="str">
        <f t="shared" si="5"/>
        <v>FD13FCSBLA012</v>
      </c>
    </row>
    <row r="39" spans="1:14" x14ac:dyDescent="0.25">
      <c r="A39" s="75" t="s">
        <v>443</v>
      </c>
      <c r="B39" s="75" t="str">
        <f t="shared" si="6"/>
        <v>CR</v>
      </c>
      <c r="C39" s="76" t="str">
        <f>VLOOKUP(B39,W_sheet_Car_Inventory!$A$2:$B$7,2,FALSE)</f>
        <v>Chrysler</v>
      </c>
      <c r="D39" s="76" t="str">
        <f t="shared" si="0"/>
        <v>PTC</v>
      </c>
      <c r="E39" s="76" t="str">
        <f>VLOOKUP(D39,W_sheet_Car_Inventory!$E$2:$F$12,2,FALSE)</f>
        <v>Pontiac</v>
      </c>
      <c r="F39" s="76" t="str">
        <f t="shared" si="1"/>
        <v>11</v>
      </c>
      <c r="G39" s="76">
        <f t="shared" si="2"/>
        <v>14</v>
      </c>
      <c r="H39" s="75">
        <v>27394.2</v>
      </c>
      <c r="I39" s="9">
        <f t="shared" si="3"/>
        <v>1956.7285714285715</v>
      </c>
      <c r="J39" s="75" t="s">
        <v>397</v>
      </c>
      <c r="K39" s="75" t="s">
        <v>404</v>
      </c>
      <c r="L39" s="75">
        <v>75000</v>
      </c>
      <c r="M39" s="76" t="str">
        <f t="shared" si="4"/>
        <v>Covered</v>
      </c>
      <c r="N39" s="76" t="str">
        <f t="shared" si="5"/>
        <v>CR11PTCBLA044</v>
      </c>
    </row>
    <row r="40" spans="1:14" x14ac:dyDescent="0.25">
      <c r="A40" s="75" t="s">
        <v>444</v>
      </c>
      <c r="B40" s="75" t="str">
        <f t="shared" si="6"/>
        <v>HY</v>
      </c>
      <c r="C40" s="76" t="str">
        <f>VLOOKUP(B40,W_sheet_Car_Inventory!$A$2:$B$7,2,FALSE)</f>
        <v>Hyundai</v>
      </c>
      <c r="D40" s="76" t="str">
        <f t="shared" si="0"/>
        <v>ELA</v>
      </c>
      <c r="E40" s="76" t="str">
        <f>VLOOKUP(D40,W_sheet_Car_Inventory!$E$2:$F$12,2,FALSE)</f>
        <v>Elantra</v>
      </c>
      <c r="F40" s="76" t="str">
        <f t="shared" si="1"/>
        <v>13</v>
      </c>
      <c r="G40" s="76">
        <f t="shared" si="2"/>
        <v>12</v>
      </c>
      <c r="H40" s="75">
        <v>22188.5</v>
      </c>
      <c r="I40" s="9">
        <f t="shared" si="3"/>
        <v>1849.0416666666667</v>
      </c>
      <c r="J40" s="75" t="s">
        <v>403</v>
      </c>
      <c r="K40" s="75" t="s">
        <v>395</v>
      </c>
      <c r="L40" s="75">
        <v>100000</v>
      </c>
      <c r="M40" s="76" t="str">
        <f t="shared" si="4"/>
        <v>Covered</v>
      </c>
      <c r="N40" s="76" t="str">
        <f t="shared" si="5"/>
        <v>HY13ELABLU052</v>
      </c>
    </row>
    <row r="41" spans="1:14" x14ac:dyDescent="0.25">
      <c r="A41" s="75" t="s">
        <v>459</v>
      </c>
      <c r="B41" s="75" t="str">
        <f t="shared" si="6"/>
        <v>HO</v>
      </c>
      <c r="C41" s="76" t="str">
        <f>VLOOKUP(B41,W_sheet_Car_Inventory!$A$2:$B$7,2,FALSE)</f>
        <v>Honda</v>
      </c>
      <c r="D41" s="76" t="str">
        <f t="shared" si="0"/>
        <v>CIV</v>
      </c>
      <c r="E41" s="76" t="str">
        <f>VLOOKUP(D41,W_sheet_Car_Inventory!$E$2:$F$12,2,FALSE)</f>
        <v>Civic</v>
      </c>
      <c r="F41" s="76" t="str">
        <f t="shared" si="1"/>
        <v>12</v>
      </c>
      <c r="G41" s="76">
        <f t="shared" si="2"/>
        <v>13</v>
      </c>
      <c r="H41" s="75">
        <v>24513.200000000001</v>
      </c>
      <c r="I41" s="9">
        <f t="shared" si="3"/>
        <v>1885.6307692307694</v>
      </c>
      <c r="J41" s="75" t="s">
        <v>397</v>
      </c>
      <c r="K41" s="75" t="s">
        <v>414</v>
      </c>
      <c r="L41" s="75">
        <v>75000</v>
      </c>
      <c r="M41" s="76" t="str">
        <f t="shared" si="4"/>
        <v>Covered</v>
      </c>
      <c r="N41" s="76" t="str">
        <f t="shared" si="5"/>
        <v>HO12CIVBLA035</v>
      </c>
    </row>
    <row r="42" spans="1:14" x14ac:dyDescent="0.25">
      <c r="A42" s="75" t="s">
        <v>445</v>
      </c>
      <c r="B42" s="75" t="str">
        <f t="shared" si="6"/>
        <v>HY</v>
      </c>
      <c r="C42" s="76" t="str">
        <f>VLOOKUP(B42,W_sheet_Car_Inventory!$A$2:$B$7,2,FALSE)</f>
        <v>Hyundai</v>
      </c>
      <c r="D42" s="76" t="str">
        <f t="shared" si="0"/>
        <v>ELA</v>
      </c>
      <c r="E42" s="76" t="str">
        <f>VLOOKUP(D42,W_sheet_Car_Inventory!$E$2:$F$12,2,FALSE)</f>
        <v>Elantra</v>
      </c>
      <c r="F42" s="76" t="str">
        <f t="shared" si="1"/>
        <v>13</v>
      </c>
      <c r="G42" s="76">
        <f t="shared" si="2"/>
        <v>12</v>
      </c>
      <c r="H42" s="75">
        <v>20223.900000000001</v>
      </c>
      <c r="I42" s="9">
        <f t="shared" si="3"/>
        <v>1685.325</v>
      </c>
      <c r="J42" s="75" t="s">
        <v>397</v>
      </c>
      <c r="K42" s="75" t="s">
        <v>426</v>
      </c>
      <c r="L42" s="75">
        <v>100000</v>
      </c>
      <c r="M42" s="76" t="str">
        <f t="shared" si="4"/>
        <v>Covered</v>
      </c>
      <c r="N42" s="76" t="str">
        <f t="shared" si="5"/>
        <v>HY13ELABLA051</v>
      </c>
    </row>
    <row r="43" spans="1:14" x14ac:dyDescent="0.25">
      <c r="A43" s="75" t="s">
        <v>446</v>
      </c>
      <c r="B43" s="75" t="str">
        <f t="shared" si="6"/>
        <v>HY</v>
      </c>
      <c r="C43" s="76" t="str">
        <f>VLOOKUP(B43,W_sheet_Car_Inventory!$A$2:$B$7,2,FALSE)</f>
        <v>Hyundai</v>
      </c>
      <c r="D43" s="76" t="str">
        <f t="shared" si="0"/>
        <v>ELA</v>
      </c>
      <c r="E43" s="76" t="str">
        <f>VLOOKUP(D43,W_sheet_Car_Inventory!$E$2:$F$12,2,FALSE)</f>
        <v>Elantra</v>
      </c>
      <c r="F43" s="76" t="str">
        <f t="shared" si="1"/>
        <v>12</v>
      </c>
      <c r="G43" s="76">
        <f t="shared" si="2"/>
        <v>13</v>
      </c>
      <c r="H43" s="75">
        <v>22282</v>
      </c>
      <c r="I43" s="9">
        <f t="shared" si="3"/>
        <v>1714</v>
      </c>
      <c r="J43" s="75" t="s">
        <v>403</v>
      </c>
      <c r="K43" s="75" t="s">
        <v>431</v>
      </c>
      <c r="L43" s="75">
        <v>100000</v>
      </c>
      <c r="M43" s="76" t="str">
        <f t="shared" si="4"/>
        <v>Covered</v>
      </c>
      <c r="N43" s="76" t="str">
        <f t="shared" si="5"/>
        <v>HY12ELABLU050</v>
      </c>
    </row>
    <row r="44" spans="1:14" x14ac:dyDescent="0.25">
      <c r="A44" s="75" t="s">
        <v>447</v>
      </c>
      <c r="B44" s="75" t="str">
        <f t="shared" si="6"/>
        <v>TY</v>
      </c>
      <c r="C44" s="76" t="str">
        <f>VLOOKUP(B44,W_sheet_Car_Inventory!$A$2:$B$7,2,FALSE)</f>
        <v>Toyota</v>
      </c>
      <c r="D44" s="76" t="str">
        <f t="shared" si="0"/>
        <v>CAM</v>
      </c>
      <c r="E44" s="76" t="str">
        <f>VLOOKUP(D44,W_sheet_Car_Inventory!$E$2:$F$12,2,FALSE)</f>
        <v>Camry</v>
      </c>
      <c r="F44" s="76" t="str">
        <f t="shared" si="1"/>
        <v>12</v>
      </c>
      <c r="G44" s="76">
        <f t="shared" si="2"/>
        <v>13</v>
      </c>
      <c r="H44" s="75">
        <v>22128.2</v>
      </c>
      <c r="I44" s="9">
        <f t="shared" si="3"/>
        <v>1702.1692307692308</v>
      </c>
      <c r="J44" s="75" t="s">
        <v>403</v>
      </c>
      <c r="K44" s="75" t="s">
        <v>390</v>
      </c>
      <c r="L44" s="75">
        <v>100000</v>
      </c>
      <c r="M44" s="76" t="str">
        <f t="shared" si="4"/>
        <v>Covered</v>
      </c>
      <c r="N44" s="76" t="str">
        <f t="shared" si="5"/>
        <v>TY12CAMBLU029</v>
      </c>
    </row>
    <row r="45" spans="1:14" x14ac:dyDescent="0.25">
      <c r="A45" s="75" t="s">
        <v>448</v>
      </c>
      <c r="B45" s="75" t="str">
        <f t="shared" si="6"/>
        <v>TY</v>
      </c>
      <c r="C45" s="76" t="str">
        <f>VLOOKUP(B45,W_sheet_Car_Inventory!$A$2:$B$7,2,FALSE)</f>
        <v>Toyota</v>
      </c>
      <c r="D45" s="76" t="str">
        <f t="shared" si="0"/>
        <v>COR</v>
      </c>
      <c r="E45" s="76" t="str">
        <f>VLOOKUP(D45,W_sheet_Car_Inventory!$E$2:$F$12,2,FALSE)</f>
        <v>Corolla</v>
      </c>
      <c r="F45" s="76" t="str">
        <f t="shared" si="1"/>
        <v>14</v>
      </c>
      <c r="G45" s="76">
        <f t="shared" si="2"/>
        <v>11</v>
      </c>
      <c r="H45" s="75">
        <v>17556.3</v>
      </c>
      <c r="I45" s="9">
        <f t="shared" si="3"/>
        <v>1596.0272727272727</v>
      </c>
      <c r="J45" s="75" t="s">
        <v>403</v>
      </c>
      <c r="K45" s="75" t="s">
        <v>426</v>
      </c>
      <c r="L45" s="75">
        <v>100000</v>
      </c>
      <c r="M45" s="76" t="str">
        <f t="shared" si="4"/>
        <v>Covered</v>
      </c>
      <c r="N45" s="76" t="str">
        <f t="shared" si="5"/>
        <v>TY14CORBLU027</v>
      </c>
    </row>
    <row r="46" spans="1:14" x14ac:dyDescent="0.25">
      <c r="A46" s="75" t="s">
        <v>449</v>
      </c>
      <c r="B46" s="75" t="str">
        <f t="shared" si="6"/>
        <v>GM</v>
      </c>
      <c r="C46" s="76" t="str">
        <f>VLOOKUP(B46,W_sheet_Car_Inventory!$A$2:$B$7,2,FALSE)</f>
        <v>General Number</v>
      </c>
      <c r="D46" s="76" t="str">
        <f t="shared" si="0"/>
        <v>CMR</v>
      </c>
      <c r="E46" s="76" t="str">
        <f>VLOOKUP(D46,W_sheet_Car_Inventory!$E$2:$F$12,2,FALSE)</f>
        <v>Camara</v>
      </c>
      <c r="F46" s="76" t="str">
        <f t="shared" si="1"/>
        <v>09</v>
      </c>
      <c r="G46" s="76">
        <f t="shared" si="2"/>
        <v>16</v>
      </c>
      <c r="H46" s="75">
        <v>28464.799999999999</v>
      </c>
      <c r="I46" s="9">
        <f t="shared" si="3"/>
        <v>1779.05</v>
      </c>
      <c r="J46" s="75" t="s">
        <v>392</v>
      </c>
      <c r="K46" s="75" t="s">
        <v>412</v>
      </c>
      <c r="L46" s="75">
        <v>100000</v>
      </c>
      <c r="M46" s="76" t="str">
        <f t="shared" si="4"/>
        <v>Covered</v>
      </c>
      <c r="N46" s="76" t="str">
        <f t="shared" si="5"/>
        <v>GM09CMRWHI014</v>
      </c>
    </row>
    <row r="47" spans="1:14" x14ac:dyDescent="0.25">
      <c r="A47" s="75" t="s">
        <v>450</v>
      </c>
      <c r="B47" s="75" t="str">
        <f t="shared" si="6"/>
        <v>GM</v>
      </c>
      <c r="C47" s="76" t="str">
        <f>VLOOKUP(B47,W_sheet_Car_Inventory!$A$2:$B$7,2,FALSE)</f>
        <v>General Number</v>
      </c>
      <c r="D47" s="76" t="str">
        <f t="shared" si="0"/>
        <v>CMR</v>
      </c>
      <c r="E47" s="76" t="str">
        <f>VLOOKUP(D47,W_sheet_Car_Inventory!$E$2:$F$12,2,FALSE)</f>
        <v>Camara</v>
      </c>
      <c r="F47" s="76" t="str">
        <f t="shared" si="1"/>
        <v>12</v>
      </c>
      <c r="G47" s="76">
        <f t="shared" si="2"/>
        <v>13</v>
      </c>
      <c r="H47" s="75">
        <v>19421.099999999999</v>
      </c>
      <c r="I47" s="9">
        <f t="shared" si="3"/>
        <v>1493.9307692307691</v>
      </c>
      <c r="J47" s="75" t="s">
        <v>397</v>
      </c>
      <c r="K47" s="75" t="s">
        <v>393</v>
      </c>
      <c r="L47" s="75">
        <v>100000</v>
      </c>
      <c r="M47" s="76" t="str">
        <f t="shared" si="4"/>
        <v>Covered</v>
      </c>
      <c r="N47" s="76" t="str">
        <f t="shared" si="5"/>
        <v>GM12CMRBLA015</v>
      </c>
    </row>
    <row r="48" spans="1:14" x14ac:dyDescent="0.25">
      <c r="A48" s="75" t="s">
        <v>451</v>
      </c>
      <c r="B48" s="75" t="str">
        <f t="shared" si="6"/>
        <v>FD</v>
      </c>
      <c r="C48" s="76" t="str">
        <f>VLOOKUP(B48,W_sheet_Car_Inventory!$A$2:$B$7,2,FALSE)</f>
        <v>Ford</v>
      </c>
      <c r="D48" s="76" t="str">
        <f t="shared" si="0"/>
        <v>FCS</v>
      </c>
      <c r="E48" s="76" t="str">
        <f>VLOOKUP(D48,W_sheet_Car_Inventory!$E$2:$F$12,2,FALSE)</f>
        <v>Focus</v>
      </c>
      <c r="F48" s="76" t="str">
        <f t="shared" si="1"/>
        <v>12</v>
      </c>
      <c r="G48" s="76">
        <f t="shared" si="2"/>
        <v>13</v>
      </c>
      <c r="H48" s="75">
        <v>19341.7</v>
      </c>
      <c r="I48" s="9">
        <f t="shared" si="3"/>
        <v>1487.823076923077</v>
      </c>
      <c r="J48" s="75" t="s">
        <v>392</v>
      </c>
      <c r="K48" s="75" t="s">
        <v>452</v>
      </c>
      <c r="L48" s="75">
        <v>75000</v>
      </c>
      <c r="M48" s="76" t="str">
        <f t="shared" si="4"/>
        <v>Covered</v>
      </c>
      <c r="N48" s="76" t="str">
        <f t="shared" si="5"/>
        <v>FD12FCSWHI011</v>
      </c>
    </row>
    <row r="49" spans="1:14" x14ac:dyDescent="0.25">
      <c r="A49" s="75" t="s">
        <v>453</v>
      </c>
      <c r="B49" s="75" t="str">
        <f t="shared" si="6"/>
        <v>HO</v>
      </c>
      <c r="C49" s="76" t="str">
        <f>VLOOKUP(B49,W_sheet_Car_Inventory!$A$2:$B$7,2,FALSE)</f>
        <v>Honda</v>
      </c>
      <c r="D49" s="76" t="str">
        <f t="shared" si="0"/>
        <v>CIV</v>
      </c>
      <c r="E49" s="76" t="str">
        <f>VLOOKUP(D49,W_sheet_Car_Inventory!$E$2:$F$12,2,FALSE)</f>
        <v>Civic</v>
      </c>
      <c r="F49" s="76" t="str">
        <f t="shared" si="1"/>
        <v>10</v>
      </c>
      <c r="G49" s="76">
        <f t="shared" si="2"/>
        <v>15</v>
      </c>
      <c r="H49" s="75">
        <v>22573</v>
      </c>
      <c r="I49" s="9">
        <f t="shared" si="3"/>
        <v>1504.8666666666666</v>
      </c>
      <c r="J49" s="75" t="s">
        <v>403</v>
      </c>
      <c r="K49" s="75" t="s">
        <v>438</v>
      </c>
      <c r="L49" s="75">
        <v>75000</v>
      </c>
      <c r="M49" s="76" t="str">
        <f t="shared" si="4"/>
        <v>Covered</v>
      </c>
      <c r="N49" s="76" t="str">
        <f t="shared" si="5"/>
        <v>HO10CIVBLU032</v>
      </c>
    </row>
    <row r="50" spans="1:14" x14ac:dyDescent="0.25">
      <c r="A50" s="75" t="s">
        <v>454</v>
      </c>
      <c r="B50" s="75" t="str">
        <f t="shared" si="6"/>
        <v>GM</v>
      </c>
      <c r="C50" s="76" t="str">
        <f>VLOOKUP(B50,W_sheet_Car_Inventory!$A$2:$B$7,2,FALSE)</f>
        <v>General Number</v>
      </c>
      <c r="D50" s="76" t="str">
        <f t="shared" si="0"/>
        <v>CMR</v>
      </c>
      <c r="E50" s="76" t="str">
        <f>VLOOKUP(D50,W_sheet_Car_Inventory!$E$2:$F$12,2,FALSE)</f>
        <v>Camara</v>
      </c>
      <c r="F50" s="76" t="str">
        <f t="shared" si="1"/>
        <v>14</v>
      </c>
      <c r="G50" s="76">
        <f t="shared" si="2"/>
        <v>11</v>
      </c>
      <c r="H50" s="75">
        <v>14289.6</v>
      </c>
      <c r="I50" s="9">
        <f t="shared" si="3"/>
        <v>1299.0545454545454</v>
      </c>
      <c r="J50" s="75" t="s">
        <v>392</v>
      </c>
      <c r="K50" s="75" t="s">
        <v>438</v>
      </c>
      <c r="L50" s="75">
        <v>100000</v>
      </c>
      <c r="M50" s="76" t="str">
        <f t="shared" si="4"/>
        <v>Covered</v>
      </c>
      <c r="N50" s="76" t="str">
        <f t="shared" si="5"/>
        <v>GM14CMRWHI016</v>
      </c>
    </row>
    <row r="51" spans="1:14" x14ac:dyDescent="0.25">
      <c r="A51" s="75" t="s">
        <v>455</v>
      </c>
      <c r="B51" s="75" t="str">
        <f t="shared" si="6"/>
        <v>HO</v>
      </c>
      <c r="C51" s="76" t="str">
        <f>VLOOKUP(B51,W_sheet_Car_Inventory!$A$2:$B$7,2,FALSE)</f>
        <v>Honda</v>
      </c>
      <c r="D51" s="76" t="str">
        <f t="shared" si="0"/>
        <v>CIV</v>
      </c>
      <c r="E51" s="76" t="str">
        <f>VLOOKUP(D51,W_sheet_Car_Inventory!$E$2:$F$12,2,FALSE)</f>
        <v>Civic</v>
      </c>
      <c r="F51" s="76" t="str">
        <f t="shared" si="1"/>
        <v>13</v>
      </c>
      <c r="G51" s="76">
        <f t="shared" si="2"/>
        <v>12</v>
      </c>
      <c r="H51" s="75">
        <v>13867.6</v>
      </c>
      <c r="I51" s="9">
        <f t="shared" si="3"/>
        <v>1155.6333333333334</v>
      </c>
      <c r="J51" s="75" t="s">
        <v>397</v>
      </c>
      <c r="K51" s="75" t="s">
        <v>390</v>
      </c>
      <c r="L51" s="75">
        <v>75000</v>
      </c>
      <c r="M51" s="76" t="str">
        <f t="shared" si="4"/>
        <v>Covered</v>
      </c>
      <c r="N51" s="76" t="str">
        <f t="shared" si="5"/>
        <v>HO13CIVBLA036</v>
      </c>
    </row>
    <row r="52" spans="1:14" x14ac:dyDescent="0.25">
      <c r="A52" s="75" t="s">
        <v>456</v>
      </c>
      <c r="B52" s="75" t="str">
        <f t="shared" si="6"/>
        <v>FD</v>
      </c>
      <c r="C52" s="76" t="str">
        <f>VLOOKUP(B52,W_sheet_Car_Inventory!$A$2:$B$7,2,FALSE)</f>
        <v>Ford</v>
      </c>
      <c r="D52" s="76" t="str">
        <f t="shared" si="0"/>
        <v>FCS</v>
      </c>
      <c r="E52" s="76" t="str">
        <f>VLOOKUP(D52,W_sheet_Car_Inventory!$E$2:$F$12,2,FALSE)</f>
        <v>Focus</v>
      </c>
      <c r="F52" s="76" t="str">
        <f t="shared" si="1"/>
        <v>13</v>
      </c>
      <c r="G52" s="76">
        <f t="shared" si="2"/>
        <v>12</v>
      </c>
      <c r="H52" s="75">
        <v>13682.9</v>
      </c>
      <c r="I52" s="9">
        <f t="shared" si="3"/>
        <v>1140.2416666666666</v>
      </c>
      <c r="J52" s="75" t="s">
        <v>397</v>
      </c>
      <c r="K52" s="75" t="s">
        <v>407</v>
      </c>
      <c r="L52" s="75">
        <v>75000</v>
      </c>
      <c r="M52" s="76" t="str">
        <f t="shared" si="4"/>
        <v>Covered</v>
      </c>
      <c r="N52" s="76" t="str">
        <f t="shared" si="5"/>
        <v>FD13FCSBLA013</v>
      </c>
    </row>
    <row r="53" spans="1:14" x14ac:dyDescent="0.25">
      <c r="A53" s="75" t="s">
        <v>457</v>
      </c>
      <c r="B53" s="75" t="str">
        <f t="shared" si="6"/>
        <v>HO</v>
      </c>
      <c r="C53" s="76" t="str">
        <f>VLOOKUP(B53,W_sheet_Car_Inventory!$A$2:$B$7,2,FALSE)</f>
        <v>Honda</v>
      </c>
      <c r="D53" s="76" t="str">
        <f t="shared" si="0"/>
        <v>ODY</v>
      </c>
      <c r="E53" s="76" t="str">
        <f>VLOOKUP(D53,W_sheet_Car_Inventory!$E$2:$F$12,2,FALSE)</f>
        <v>Odyssey</v>
      </c>
      <c r="F53" s="76" t="str">
        <f t="shared" si="1"/>
        <v>14</v>
      </c>
      <c r="G53" s="76">
        <f t="shared" si="2"/>
        <v>11</v>
      </c>
      <c r="H53" s="75">
        <v>3708.1</v>
      </c>
      <c r="I53" s="9">
        <f t="shared" si="3"/>
        <v>337.09999999999997</v>
      </c>
      <c r="J53" s="75" t="s">
        <v>397</v>
      </c>
      <c r="K53" s="75" t="s">
        <v>431</v>
      </c>
      <c r="L53" s="75">
        <v>100000</v>
      </c>
      <c r="M53" s="76" t="str">
        <f t="shared" si="4"/>
        <v>Covered</v>
      </c>
      <c r="N53" s="76" t="str">
        <f t="shared" si="5"/>
        <v>HO14ODYBLA041</v>
      </c>
    </row>
  </sheetData>
  <autoFilter ref="A1:N53" xr:uid="{47694E91-4A67-4DB6-B7B4-58D8C4EF9649}"/>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10F7-174F-445C-A57B-08C9A220CAD0}">
  <dimension ref="A2:F12"/>
  <sheetViews>
    <sheetView workbookViewId="0">
      <selection activeCell="B16" sqref="B16"/>
    </sheetView>
  </sheetViews>
  <sheetFormatPr defaultRowHeight="15" x14ac:dyDescent="0.25"/>
  <cols>
    <col min="2" max="2" width="15.85546875" bestFit="1" customWidth="1"/>
  </cols>
  <sheetData>
    <row r="2" spans="1:6" x14ac:dyDescent="0.25">
      <c r="A2" t="str" cm="1">
        <f t="array" ref="A2:A7">_xlfn.UNIQUE(Car_Inventory_Dataset!B2:B53,FALSE,FALSE)</f>
        <v>TY</v>
      </c>
      <c r="B2" t="s">
        <v>460</v>
      </c>
      <c r="E2" t="str" cm="1">
        <f t="array" ref="E2:E12">_xlfn.UNIQUE(Car_Inventory_Dataset!D2:D53,FALSE,FALSE)</f>
        <v>CAM</v>
      </c>
      <c r="F2" t="s">
        <v>466</v>
      </c>
    </row>
    <row r="3" spans="1:6" x14ac:dyDescent="0.25">
      <c r="A3" t="str">
        <v>CR</v>
      </c>
      <c r="B3" t="s">
        <v>461</v>
      </c>
      <c r="E3" t="str">
        <v>CAR</v>
      </c>
      <c r="F3" t="s">
        <v>467</v>
      </c>
    </row>
    <row r="4" spans="1:6" x14ac:dyDescent="0.25">
      <c r="A4" t="str">
        <v>GM</v>
      </c>
      <c r="B4" t="s">
        <v>462</v>
      </c>
      <c r="E4" t="str">
        <v>COR</v>
      </c>
      <c r="F4" t="s">
        <v>468</v>
      </c>
    </row>
    <row r="5" spans="1:6" x14ac:dyDescent="0.25">
      <c r="A5" t="str">
        <v>HO</v>
      </c>
      <c r="B5" t="s">
        <v>463</v>
      </c>
      <c r="E5" t="str">
        <v>SLV</v>
      </c>
      <c r="F5" t="s">
        <v>469</v>
      </c>
    </row>
    <row r="6" spans="1:6" x14ac:dyDescent="0.25">
      <c r="A6" t="str">
        <v>FD</v>
      </c>
      <c r="B6" t="s">
        <v>464</v>
      </c>
      <c r="E6" t="str">
        <v>PTC</v>
      </c>
      <c r="F6" t="s">
        <v>470</v>
      </c>
    </row>
    <row r="7" spans="1:6" x14ac:dyDescent="0.25">
      <c r="A7" t="str">
        <v>HY</v>
      </c>
      <c r="B7" t="s">
        <v>465</v>
      </c>
      <c r="E7" t="str">
        <v>CIV</v>
      </c>
      <c r="F7" t="s">
        <v>177</v>
      </c>
    </row>
    <row r="8" spans="1:6" x14ac:dyDescent="0.25">
      <c r="E8" t="str">
        <v>ODY</v>
      </c>
      <c r="F8" t="s">
        <v>471</v>
      </c>
    </row>
    <row r="9" spans="1:6" x14ac:dyDescent="0.25">
      <c r="E9" t="str">
        <v>FCS</v>
      </c>
      <c r="F9" t="s">
        <v>472</v>
      </c>
    </row>
    <row r="10" spans="1:6" x14ac:dyDescent="0.25">
      <c r="E10" t="str">
        <v>MTG</v>
      </c>
      <c r="F10" t="s">
        <v>473</v>
      </c>
    </row>
    <row r="11" spans="1:6" x14ac:dyDescent="0.25">
      <c r="E11" t="str">
        <v>ELA</v>
      </c>
      <c r="F11" t="s">
        <v>474</v>
      </c>
    </row>
    <row r="12" spans="1:6" x14ac:dyDescent="0.25">
      <c r="E12" t="str">
        <v>CMR</v>
      </c>
      <c r="F12"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F2D8-C359-4742-B0F3-74B3A0784723}">
  <dimension ref="A3:B35"/>
  <sheetViews>
    <sheetView topLeftCell="A16" workbookViewId="0">
      <selection activeCell="L43" sqref="L43"/>
    </sheetView>
  </sheetViews>
  <sheetFormatPr defaultRowHeight="15" x14ac:dyDescent="0.25"/>
  <cols>
    <col min="1" max="1" width="15.85546875" bestFit="1" customWidth="1"/>
    <col min="2" max="2" width="14.28515625" bestFit="1" customWidth="1"/>
  </cols>
  <sheetData>
    <row r="3" spans="1:2" x14ac:dyDescent="0.25">
      <c r="A3" s="79" t="s">
        <v>301</v>
      </c>
      <c r="B3" t="s">
        <v>487</v>
      </c>
    </row>
    <row r="4" spans="1:2" x14ac:dyDescent="0.25">
      <c r="A4" s="80" t="s">
        <v>476</v>
      </c>
      <c r="B4" s="78">
        <v>432042.7</v>
      </c>
    </row>
    <row r="5" spans="1:2" x14ac:dyDescent="0.25">
      <c r="A5" s="80" t="s">
        <v>477</v>
      </c>
      <c r="B5" s="78">
        <v>281890.3</v>
      </c>
    </row>
    <row r="6" spans="1:2" x14ac:dyDescent="0.25">
      <c r="A6" s="80" t="s">
        <v>478</v>
      </c>
      <c r="B6" s="78">
        <v>277252.2</v>
      </c>
    </row>
    <row r="7" spans="1:2" x14ac:dyDescent="0.25">
      <c r="A7" s="80" t="s">
        <v>482</v>
      </c>
      <c r="B7" s="78">
        <v>244396</v>
      </c>
    </row>
    <row r="8" spans="1:2" x14ac:dyDescent="0.25">
      <c r="A8" s="80" t="s">
        <v>484</v>
      </c>
      <c r="B8" s="78">
        <v>226115.20000000001</v>
      </c>
    </row>
    <row r="9" spans="1:2" x14ac:dyDescent="0.25">
      <c r="A9" s="80" t="s">
        <v>483</v>
      </c>
      <c r="B9" s="78">
        <v>204245.4</v>
      </c>
    </row>
    <row r="10" spans="1:2" x14ac:dyDescent="0.25">
      <c r="A10" s="80" t="s">
        <v>486</v>
      </c>
      <c r="B10" s="78">
        <v>194992.9</v>
      </c>
    </row>
    <row r="11" spans="1:2" x14ac:dyDescent="0.25">
      <c r="A11" s="80" t="s">
        <v>480</v>
      </c>
      <c r="B11" s="78">
        <v>185070</v>
      </c>
    </row>
    <row r="12" spans="1:2" x14ac:dyDescent="0.25">
      <c r="A12" s="80" t="s">
        <v>485</v>
      </c>
      <c r="B12" s="78">
        <v>134010.4</v>
      </c>
    </row>
    <row r="13" spans="1:2" x14ac:dyDescent="0.25">
      <c r="A13" s="80" t="s">
        <v>481</v>
      </c>
      <c r="B13" s="78">
        <v>93796.7</v>
      </c>
    </row>
    <row r="14" spans="1:2" x14ac:dyDescent="0.25">
      <c r="A14" s="80" t="s">
        <v>479</v>
      </c>
      <c r="B14" s="78">
        <v>62175.5</v>
      </c>
    </row>
    <row r="15" spans="1:2" x14ac:dyDescent="0.25">
      <c r="A15" s="80" t="s">
        <v>302</v>
      </c>
      <c r="B15" s="78">
        <v>2335987.2999999998</v>
      </c>
    </row>
    <row r="20" spans="1:2" x14ac:dyDescent="0.25">
      <c r="A20" s="79" t="s">
        <v>301</v>
      </c>
      <c r="B20" t="s">
        <v>488</v>
      </c>
    </row>
    <row r="21" spans="1:2" x14ac:dyDescent="0.25">
      <c r="A21" s="80" t="s">
        <v>461</v>
      </c>
      <c r="B21" s="78">
        <v>2782.1637983603696</v>
      </c>
    </row>
    <row r="22" spans="1:2" x14ac:dyDescent="0.25">
      <c r="A22" s="80" t="s">
        <v>464</v>
      </c>
      <c r="B22" s="78">
        <v>2151.6308267078239</v>
      </c>
    </row>
    <row r="23" spans="1:2" x14ac:dyDescent="0.25">
      <c r="A23" s="80" t="s">
        <v>462</v>
      </c>
      <c r="B23" s="78">
        <v>2159.3101080031079</v>
      </c>
    </row>
    <row r="24" spans="1:2" x14ac:dyDescent="0.25">
      <c r="A24" s="80" t="s">
        <v>463</v>
      </c>
      <c r="B24" s="78">
        <v>2215.3099721982808</v>
      </c>
    </row>
    <row r="25" spans="1:2" x14ac:dyDescent="0.25">
      <c r="A25" s="80" t="s">
        <v>465</v>
      </c>
      <c r="B25" s="78">
        <v>1831.7755952380951</v>
      </c>
    </row>
    <row r="26" spans="1:2" x14ac:dyDescent="0.25">
      <c r="A26" s="80" t="s">
        <v>460</v>
      </c>
      <c r="B26" s="78">
        <v>2852.2355399496246</v>
      </c>
    </row>
    <row r="27" spans="1:2" x14ac:dyDescent="0.25">
      <c r="A27" s="80" t="s">
        <v>302</v>
      </c>
      <c r="B27" s="78">
        <v>2362.2189505879028</v>
      </c>
    </row>
    <row r="32" spans="1:2" x14ac:dyDescent="0.25">
      <c r="A32" s="79" t="s">
        <v>301</v>
      </c>
      <c r="B32" t="s">
        <v>491</v>
      </c>
    </row>
    <row r="33" spans="1:2" x14ac:dyDescent="0.25">
      <c r="A33" s="80" t="s">
        <v>489</v>
      </c>
      <c r="B33" s="81">
        <v>0.92307692307692313</v>
      </c>
    </row>
    <row r="34" spans="1:2" x14ac:dyDescent="0.25">
      <c r="A34" s="80" t="s">
        <v>490</v>
      </c>
      <c r="B34" s="81">
        <v>7.6923076923076927E-2</v>
      </c>
    </row>
    <row r="35" spans="1:2" x14ac:dyDescent="0.25">
      <c r="A35" s="80" t="s">
        <v>302</v>
      </c>
      <c r="B35" s="81">
        <v>1</v>
      </c>
    </row>
  </sheetData>
  <pageMargins left="0.7" right="0.7" top="0.75" bottom="0.75" header="0.3" footer="0.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257FF-8F4D-481F-AB0F-2A7F557BCB8D}">
  <dimension ref="A3:B26"/>
  <sheetViews>
    <sheetView workbookViewId="0">
      <selection activeCell="L14" sqref="L14"/>
    </sheetView>
  </sheetViews>
  <sheetFormatPr defaultRowHeight="15" x14ac:dyDescent="0.25"/>
  <cols>
    <col min="1" max="1" width="13.140625" bestFit="1" customWidth="1"/>
    <col min="2" max="2" width="14.28515625" bestFit="1" customWidth="1"/>
  </cols>
  <sheetData>
    <row r="3" spans="1:2" x14ac:dyDescent="0.25">
      <c r="A3" s="79" t="s">
        <v>301</v>
      </c>
      <c r="B3" t="s">
        <v>488</v>
      </c>
    </row>
    <row r="4" spans="1:2" x14ac:dyDescent="0.25">
      <c r="A4" s="80" t="s">
        <v>479</v>
      </c>
      <c r="B4" s="78">
        <v>1524.0117715617714</v>
      </c>
    </row>
    <row r="5" spans="1:2" x14ac:dyDescent="0.25">
      <c r="A5" s="80" t="s">
        <v>481</v>
      </c>
      <c r="B5" s="78">
        <v>1831.7755952380951</v>
      </c>
    </row>
    <row r="6" spans="1:2" x14ac:dyDescent="0.25">
      <c r="A6" s="80" t="s">
        <v>482</v>
      </c>
      <c r="B6" s="78">
        <v>2060.6185918522265</v>
      </c>
    </row>
    <row r="7" spans="1:2" x14ac:dyDescent="0.25">
      <c r="A7" s="80" t="s">
        <v>478</v>
      </c>
      <c r="B7" s="78">
        <v>2148.6941143380427</v>
      </c>
    </row>
    <row r="8" spans="1:2" x14ac:dyDescent="0.25">
      <c r="A8" s="80" t="s">
        <v>483</v>
      </c>
      <c r="B8" s="78">
        <v>2297.2504024767804</v>
      </c>
    </row>
    <row r="9" spans="1:2" x14ac:dyDescent="0.25">
      <c r="A9" s="80" t="s">
        <v>484</v>
      </c>
      <c r="B9" s="78">
        <v>2308.5721732026145</v>
      </c>
    </row>
    <row r="10" spans="1:2" x14ac:dyDescent="0.25">
      <c r="A10" s="80" t="s">
        <v>485</v>
      </c>
      <c r="B10" s="78">
        <v>2455.8708994708995</v>
      </c>
    </row>
    <row r="11" spans="1:2" x14ac:dyDescent="0.25">
      <c r="A11" s="80" t="s">
        <v>480</v>
      </c>
      <c r="B11" s="78">
        <v>2503.6021891152327</v>
      </c>
    </row>
    <row r="12" spans="1:2" x14ac:dyDescent="0.25">
      <c r="A12" s="80" t="s">
        <v>486</v>
      </c>
      <c r="B12" s="78">
        <v>2794.6084444444446</v>
      </c>
    </row>
    <row r="13" spans="1:2" x14ac:dyDescent="0.25">
      <c r="A13" s="80" t="s">
        <v>477</v>
      </c>
      <c r="B13" s="78">
        <v>3026.8834725274723</v>
      </c>
    </row>
    <row r="14" spans="1:2" x14ac:dyDescent="0.25">
      <c r="A14" s="80" t="s">
        <v>476</v>
      </c>
      <c r="B14" s="78">
        <v>3084.6577738392202</v>
      </c>
    </row>
    <row r="15" spans="1:2" x14ac:dyDescent="0.25">
      <c r="A15" s="80" t="s">
        <v>302</v>
      </c>
      <c r="B15" s="78">
        <v>2362.2189505879028</v>
      </c>
    </row>
    <row r="20" spans="1:2" x14ac:dyDescent="0.25">
      <c r="A20" s="79" t="s">
        <v>301</v>
      </c>
      <c r="B20" t="s">
        <v>491</v>
      </c>
    </row>
    <row r="21" spans="1:2" x14ac:dyDescent="0.25">
      <c r="A21" s="80" t="s">
        <v>397</v>
      </c>
      <c r="B21" s="78">
        <v>24</v>
      </c>
    </row>
    <row r="22" spans="1:2" x14ac:dyDescent="0.25">
      <c r="A22" s="80" t="s">
        <v>403</v>
      </c>
      <c r="B22" s="78">
        <v>8</v>
      </c>
    </row>
    <row r="23" spans="1:2" x14ac:dyDescent="0.25">
      <c r="A23" s="80" t="s">
        <v>389</v>
      </c>
      <c r="B23" s="78">
        <v>7</v>
      </c>
    </row>
    <row r="24" spans="1:2" x14ac:dyDescent="0.25">
      <c r="A24" s="80" t="s">
        <v>422</v>
      </c>
      <c r="B24" s="78">
        <v>2</v>
      </c>
    </row>
    <row r="25" spans="1:2" x14ac:dyDescent="0.25">
      <c r="A25" s="80" t="s">
        <v>392</v>
      </c>
      <c r="B25" s="78">
        <v>11</v>
      </c>
    </row>
    <row r="26" spans="1:2" x14ac:dyDescent="0.25">
      <c r="A26" s="80" t="s">
        <v>302</v>
      </c>
      <c r="B26" s="78">
        <v>52</v>
      </c>
    </row>
  </sheetData>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0AC00-F251-43B7-B71A-18E90C07D95D}">
  <sheetPr>
    <tabColor theme="6" tint="-0.499984740745262"/>
  </sheetPr>
  <dimension ref="A1:N2"/>
  <sheetViews>
    <sheetView showGridLines="0" showRowColHeaders="0" workbookViewId="0">
      <selection activeCell="F9" sqref="F9"/>
    </sheetView>
  </sheetViews>
  <sheetFormatPr defaultRowHeight="15" x14ac:dyDescent="0.25"/>
  <sheetData>
    <row r="1" spans="1:14" x14ac:dyDescent="0.25">
      <c r="A1" s="86" t="s">
        <v>492</v>
      </c>
      <c r="B1" s="86"/>
      <c r="C1" s="86"/>
      <c r="D1" s="86"/>
      <c r="E1" s="86"/>
      <c r="F1" s="86"/>
      <c r="G1" s="86"/>
      <c r="H1" s="86"/>
      <c r="I1" s="86"/>
      <c r="J1" s="86"/>
      <c r="K1" s="86"/>
      <c r="L1" s="86"/>
      <c r="M1" s="86"/>
      <c r="N1" s="86"/>
    </row>
    <row r="2" spans="1:14" x14ac:dyDescent="0.25">
      <c r="A2" s="86"/>
      <c r="B2" s="86"/>
      <c r="C2" s="86"/>
      <c r="D2" s="86"/>
      <c r="E2" s="86"/>
      <c r="F2" s="86"/>
      <c r="G2" s="86"/>
      <c r="H2" s="86"/>
      <c r="I2" s="86"/>
      <c r="J2" s="86"/>
      <c r="K2" s="86"/>
      <c r="L2" s="86"/>
      <c r="M2" s="86"/>
      <c r="N2" s="86"/>
    </row>
  </sheetData>
  <mergeCells count="1">
    <mergeCell ref="A1:N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03E8-E600-4231-8CE9-5F52029FED98}">
  <dimension ref="A1:M152"/>
  <sheetViews>
    <sheetView workbookViewId="0">
      <selection activeCell="M4" sqref="M4"/>
    </sheetView>
  </sheetViews>
  <sheetFormatPr defaultRowHeight="15" x14ac:dyDescent="0.25"/>
  <cols>
    <col min="1" max="1" width="6.5703125" bestFit="1" customWidth="1"/>
    <col min="2" max="2" width="9.28515625" style="42" bestFit="1" customWidth="1"/>
    <col min="3" max="3" width="21.42578125" bestFit="1" customWidth="1"/>
    <col min="4" max="4" width="19.85546875" bestFit="1" customWidth="1"/>
    <col min="5" max="5" width="13.42578125" style="25" bestFit="1" customWidth="1"/>
    <col min="6" max="6" width="14.140625" style="25" bestFit="1" customWidth="1"/>
    <col min="7" max="7" width="9.5703125" style="25" customWidth="1"/>
    <col min="8" max="8" width="11" bestFit="1" customWidth="1"/>
    <col min="9" max="9" width="17.7109375" bestFit="1" customWidth="1"/>
    <col min="10" max="10" width="14.5703125" style="25" bestFit="1" customWidth="1"/>
    <col min="11" max="11" width="16.140625" style="25" bestFit="1" customWidth="1"/>
    <col min="12" max="12" width="15.85546875" bestFit="1" customWidth="1"/>
    <col min="13" max="13" width="14.42578125" bestFit="1" customWidth="1"/>
  </cols>
  <sheetData>
    <row r="1" spans="1:13" x14ac:dyDescent="0.25">
      <c r="A1" s="83" t="s">
        <v>277</v>
      </c>
      <c r="B1" s="82"/>
    </row>
    <row r="2" spans="1:13" ht="15.75" thickBot="1" x14ac:dyDescent="0.3">
      <c r="A2" s="50" t="s">
        <v>243</v>
      </c>
      <c r="B2" s="51" t="s">
        <v>252</v>
      </c>
      <c r="C2" s="51" t="s">
        <v>244</v>
      </c>
      <c r="D2" s="51" t="s">
        <v>245</v>
      </c>
      <c r="E2" s="52" t="s">
        <v>246</v>
      </c>
      <c r="F2" s="52" t="s">
        <v>247</v>
      </c>
      <c r="G2" s="52" t="s">
        <v>248</v>
      </c>
      <c r="H2" s="51" t="s">
        <v>249</v>
      </c>
      <c r="I2" s="51" t="s">
        <v>250</v>
      </c>
      <c r="J2" s="52" t="s">
        <v>251</v>
      </c>
      <c r="K2" s="52" t="s">
        <v>276</v>
      </c>
      <c r="L2" s="51" t="s">
        <v>287</v>
      </c>
      <c r="M2" s="51" t="s">
        <v>288</v>
      </c>
    </row>
    <row r="3" spans="1:13" ht="15.75" thickTop="1" x14ac:dyDescent="0.25">
      <c r="A3" s="53">
        <v>1</v>
      </c>
      <c r="B3" s="54" t="s">
        <v>253</v>
      </c>
      <c r="C3" s="54">
        <v>1001</v>
      </c>
      <c r="D3" s="54" t="s">
        <v>242</v>
      </c>
      <c r="E3" s="55">
        <f>IF(SalesRecord!$D3=" "," ",VLOOKUP(SalesRecord!$D3,W_sheet_Sales_record!$C$3:$D$13,2,FALSE))</f>
        <v>500</v>
      </c>
      <c r="F3" s="55">
        <v>700</v>
      </c>
      <c r="G3" s="55">
        <f>SalesRecord!$F3-SalesRecord!$E3</f>
        <v>200</v>
      </c>
      <c r="H3" s="54">
        <v>5</v>
      </c>
      <c r="I3" s="55">
        <f>SalesRecord!$F3*SalesRecord!$H3</f>
        <v>3500</v>
      </c>
      <c r="J3" s="55">
        <f>SalesRecord!$G3*SalesRecord!$H3</f>
        <v>1000</v>
      </c>
      <c r="K3" s="55" cm="1">
        <f t="array" ref="K3">_xlfn.IFS(SalesRecord!$G3&gt;120,0.5*SalesRecord!$G3,SalesRecord!$G3&lt;120,0.25*SalesRecord!$G3)</f>
        <v>100</v>
      </c>
      <c r="L3" s="55" t="s">
        <v>278</v>
      </c>
      <c r="M3" s="55" t="s">
        <v>284</v>
      </c>
    </row>
    <row r="4" spans="1:13" x14ac:dyDescent="0.25">
      <c r="A4" s="56">
        <v>2</v>
      </c>
      <c r="B4" s="57" t="s">
        <v>253</v>
      </c>
      <c r="C4" s="57">
        <v>1002</v>
      </c>
      <c r="D4" s="57" t="s">
        <v>267</v>
      </c>
      <c r="E4" s="58">
        <f>IF(SalesRecord!$D4=" "," ",VLOOKUP(SalesRecord!$D4,W_sheet_Sales_record!$C$3:$D$13,2,FALSE))</f>
        <v>450</v>
      </c>
      <c r="F4" s="58">
        <v>600</v>
      </c>
      <c r="G4" s="58">
        <f>SalesRecord!$F4-SalesRecord!$E4</f>
        <v>150</v>
      </c>
      <c r="H4" s="57">
        <v>2</v>
      </c>
      <c r="I4" s="58">
        <f>SalesRecord!$F4*SalesRecord!$H4</f>
        <v>1200</v>
      </c>
      <c r="J4" s="58">
        <f>SalesRecord!$G4*SalesRecord!$H4</f>
        <v>300</v>
      </c>
      <c r="K4" s="58" cm="1">
        <f t="array" ref="K4">_xlfn.IFS(SalesRecord!$G4&gt;120,0.5*SalesRecord!$G4,SalesRecord!$G4&lt;120,0.25*SalesRecord!$G4)</f>
        <v>75</v>
      </c>
      <c r="L4" s="58" t="s">
        <v>279</v>
      </c>
      <c r="M4" s="58" t="s">
        <v>282</v>
      </c>
    </row>
    <row r="5" spans="1:13" x14ac:dyDescent="0.25">
      <c r="A5" s="59">
        <v>3</v>
      </c>
      <c r="B5" s="60" t="s">
        <v>253</v>
      </c>
      <c r="C5" s="60">
        <v>1003</v>
      </c>
      <c r="D5" s="60" t="s">
        <v>275</v>
      </c>
      <c r="E5" s="61">
        <f>IF(SalesRecord!$D5=" "," ",VLOOKUP(SalesRecord!$D5,W_sheet_Sales_record!$C$3:$D$13,2,FALSE))</f>
        <v>400</v>
      </c>
      <c r="F5" s="61">
        <v>500</v>
      </c>
      <c r="G5" s="61">
        <f>SalesRecord!$F5-SalesRecord!$E5</f>
        <v>100</v>
      </c>
      <c r="H5" s="60">
        <v>6</v>
      </c>
      <c r="I5" s="61">
        <f>SalesRecord!$F5*SalesRecord!$H5</f>
        <v>3000</v>
      </c>
      <c r="J5" s="61">
        <f>SalesRecord!$G5*SalesRecord!$H5</f>
        <v>600</v>
      </c>
      <c r="K5" s="61" cm="1">
        <f t="array" ref="K5">_xlfn.IFS(SalesRecord!$G5&gt;120,0.5*SalesRecord!$G5,SalesRecord!$G5&lt;120,0.25*SalesRecord!$G5)</f>
        <v>25</v>
      </c>
      <c r="L5" s="61" t="s">
        <v>280</v>
      </c>
      <c r="M5" s="61" t="s">
        <v>283</v>
      </c>
    </row>
    <row r="6" spans="1:13" x14ac:dyDescent="0.25">
      <c r="A6" s="56">
        <v>4</v>
      </c>
      <c r="B6" s="57" t="s">
        <v>253</v>
      </c>
      <c r="C6" s="57">
        <v>1004</v>
      </c>
      <c r="D6" s="57" t="s">
        <v>271</v>
      </c>
      <c r="E6" s="58">
        <f>IF(SalesRecord!$D6=" "," ",VLOOKUP(SalesRecord!$D6,W_sheet_Sales_record!$C$3:$D$13,2,FALSE))</f>
        <v>250</v>
      </c>
      <c r="F6" s="58">
        <v>350</v>
      </c>
      <c r="G6" s="58">
        <f>SalesRecord!$F6-SalesRecord!$E6</f>
        <v>100</v>
      </c>
      <c r="H6" s="57">
        <v>1</v>
      </c>
      <c r="I6" s="58">
        <f>SalesRecord!$F6*SalesRecord!$H6</f>
        <v>350</v>
      </c>
      <c r="J6" s="58">
        <f>SalesRecord!$G6*SalesRecord!$H6</f>
        <v>100</v>
      </c>
      <c r="K6" s="58" cm="1">
        <f t="array" ref="K6">_xlfn.IFS(SalesRecord!$G6&gt;120,0.5*SalesRecord!$G6,SalesRecord!$G6&lt;120,0.25*SalesRecord!$G6)</f>
        <v>25</v>
      </c>
      <c r="L6" s="58" t="s">
        <v>279</v>
      </c>
      <c r="M6" s="58" t="s">
        <v>282</v>
      </c>
    </row>
    <row r="7" spans="1:13" x14ac:dyDescent="0.25">
      <c r="A7" s="59">
        <v>5</v>
      </c>
      <c r="B7" s="60" t="s">
        <v>253</v>
      </c>
      <c r="C7" s="60">
        <v>1005</v>
      </c>
      <c r="D7" s="60" t="s">
        <v>275</v>
      </c>
      <c r="E7" s="61">
        <f>IF(SalesRecord!$D7=" "," ",VLOOKUP(SalesRecord!$D7,W_sheet_Sales_record!$C$3:$D$13,2,FALSE))</f>
        <v>400</v>
      </c>
      <c r="F7" s="61">
        <v>550</v>
      </c>
      <c r="G7" s="61">
        <f>SalesRecord!$F7-SalesRecord!$E7</f>
        <v>150</v>
      </c>
      <c r="H7" s="60">
        <v>10</v>
      </c>
      <c r="I7" s="61">
        <f>SalesRecord!$F7*SalesRecord!$H7</f>
        <v>5500</v>
      </c>
      <c r="J7" s="61">
        <f>SalesRecord!$G7*SalesRecord!$H7</f>
        <v>1500</v>
      </c>
      <c r="K7" s="61" cm="1">
        <f t="array" ref="K7">_xlfn.IFS(SalesRecord!$G7&gt;120,0.5*SalesRecord!$G7,SalesRecord!$G7&lt;120,0.25*SalesRecord!$G7)</f>
        <v>75</v>
      </c>
      <c r="L7" s="61" t="s">
        <v>278</v>
      </c>
      <c r="M7" s="61" t="s">
        <v>281</v>
      </c>
    </row>
    <row r="8" spans="1:13" x14ac:dyDescent="0.25">
      <c r="A8" s="56">
        <v>6</v>
      </c>
      <c r="B8" s="57" t="s">
        <v>253</v>
      </c>
      <c r="C8" s="57">
        <v>1006</v>
      </c>
      <c r="D8" s="57" t="s">
        <v>270</v>
      </c>
      <c r="E8" s="58">
        <f>IF(SalesRecord!$D8=" "," ",VLOOKUP(SalesRecord!$D8,W_sheet_Sales_record!$C$3:$D$13,2,FALSE))</f>
        <v>350</v>
      </c>
      <c r="F8" s="58">
        <v>600</v>
      </c>
      <c r="G8" s="58">
        <f>SalesRecord!$F8-SalesRecord!$E8</f>
        <v>250</v>
      </c>
      <c r="H8" s="57">
        <v>7</v>
      </c>
      <c r="I8" s="58">
        <f>SalesRecord!$F8*SalesRecord!$H8</f>
        <v>4200</v>
      </c>
      <c r="J8" s="58">
        <f>SalesRecord!$G8*SalesRecord!$H8</f>
        <v>1750</v>
      </c>
      <c r="K8" s="58" cm="1">
        <f t="array" ref="K8">_xlfn.IFS(SalesRecord!$G8&gt;120,0.5*SalesRecord!$G8,SalesRecord!$G8&lt;120,0.25*SalesRecord!$G8)</f>
        <v>125</v>
      </c>
      <c r="L8" s="58" t="s">
        <v>280</v>
      </c>
      <c r="M8" s="58" t="s">
        <v>286</v>
      </c>
    </row>
    <row r="9" spans="1:13" x14ac:dyDescent="0.25">
      <c r="A9" s="59">
        <v>7</v>
      </c>
      <c r="B9" s="60" t="s">
        <v>253</v>
      </c>
      <c r="C9" s="60">
        <v>1007</v>
      </c>
      <c r="D9" s="60" t="s">
        <v>269</v>
      </c>
      <c r="E9" s="61">
        <f>IF(SalesRecord!$D9=" "," ",VLOOKUP(SalesRecord!$D9,W_sheet_Sales_record!$C$3:$D$13,2,FALSE))</f>
        <v>300</v>
      </c>
      <c r="F9" s="61">
        <v>500</v>
      </c>
      <c r="G9" s="61">
        <f>SalesRecord!$F9-SalesRecord!$E9</f>
        <v>200</v>
      </c>
      <c r="H9" s="60">
        <v>3</v>
      </c>
      <c r="I9" s="61">
        <f>SalesRecord!$F9*SalesRecord!$H9</f>
        <v>1500</v>
      </c>
      <c r="J9" s="61">
        <f>SalesRecord!$G9*SalesRecord!$H9</f>
        <v>600</v>
      </c>
      <c r="K9" s="61" cm="1">
        <f t="array" ref="K9">_xlfn.IFS(SalesRecord!$G9&gt;120,0.5*SalesRecord!$G9,SalesRecord!$G9&lt;120,0.25*SalesRecord!$G9)</f>
        <v>100</v>
      </c>
      <c r="L9" s="61" t="s">
        <v>280</v>
      </c>
      <c r="M9" s="61" t="s">
        <v>291</v>
      </c>
    </row>
    <row r="10" spans="1:13" x14ac:dyDescent="0.25">
      <c r="A10" s="56">
        <v>8</v>
      </c>
      <c r="B10" s="57" t="s">
        <v>253</v>
      </c>
      <c r="C10" s="57">
        <v>1008</v>
      </c>
      <c r="D10" s="57" t="s">
        <v>267</v>
      </c>
      <c r="E10" s="58">
        <f>IF(SalesRecord!$D10=" "," ",VLOOKUP(SalesRecord!$D10,W_sheet_Sales_record!$C$3:$D$13,2,FALSE))</f>
        <v>450</v>
      </c>
      <c r="F10" s="58">
        <v>650</v>
      </c>
      <c r="G10" s="58">
        <f>SalesRecord!$F10-SalesRecord!$E10</f>
        <v>200</v>
      </c>
      <c r="H10" s="57">
        <v>4</v>
      </c>
      <c r="I10" s="58">
        <f>SalesRecord!$F10*SalesRecord!$H10</f>
        <v>2600</v>
      </c>
      <c r="J10" s="58">
        <f>SalesRecord!$G10*SalesRecord!$H10</f>
        <v>800</v>
      </c>
      <c r="K10" s="58" cm="1">
        <f t="array" ref="K10">_xlfn.IFS(SalesRecord!$G10&gt;120,0.5*SalesRecord!$G10,SalesRecord!$G10&lt;120,0.25*SalesRecord!$G10)</f>
        <v>100</v>
      </c>
      <c r="L10" s="58" t="s">
        <v>278</v>
      </c>
      <c r="M10" s="58" t="s">
        <v>281</v>
      </c>
    </row>
    <row r="11" spans="1:13" x14ac:dyDescent="0.25">
      <c r="A11" s="59">
        <v>9</v>
      </c>
      <c r="B11" s="60" t="s">
        <v>253</v>
      </c>
      <c r="C11" s="60">
        <v>1009</v>
      </c>
      <c r="D11" s="60" t="s">
        <v>272</v>
      </c>
      <c r="E11" s="61">
        <f>IF(SalesRecord!$D11=" "," ",VLOOKUP(SalesRecord!$D11,W_sheet_Sales_record!$C$3:$D$13,2,FALSE))</f>
        <v>450</v>
      </c>
      <c r="F11" s="61">
        <v>550</v>
      </c>
      <c r="G11" s="61">
        <f>SalesRecord!$F11-SalesRecord!$E11</f>
        <v>100</v>
      </c>
      <c r="H11" s="60">
        <v>6</v>
      </c>
      <c r="I11" s="61">
        <f>SalesRecord!$F11*SalesRecord!$H11</f>
        <v>3300</v>
      </c>
      <c r="J11" s="61">
        <f>SalesRecord!$G11*SalesRecord!$H11</f>
        <v>600</v>
      </c>
      <c r="K11" s="61" cm="1">
        <f t="array" ref="K11">_xlfn.IFS(SalesRecord!$G11&gt;120,0.5*SalesRecord!$G11,SalesRecord!$G11&lt;120,0.25*SalesRecord!$G11)</f>
        <v>25</v>
      </c>
      <c r="L11" s="61" t="s">
        <v>279</v>
      </c>
      <c r="M11" s="61" t="s">
        <v>285</v>
      </c>
    </row>
    <row r="12" spans="1:13" x14ac:dyDescent="0.25">
      <c r="A12" s="56">
        <v>10</v>
      </c>
      <c r="B12" s="57" t="s">
        <v>253</v>
      </c>
      <c r="C12" s="57">
        <v>1010</v>
      </c>
      <c r="D12" s="57" t="s">
        <v>268</v>
      </c>
      <c r="E12" s="58">
        <f>IF(SalesRecord!$D12=" "," ",VLOOKUP(SalesRecord!$D12,W_sheet_Sales_record!$C$3:$D$13,2,FALSE))</f>
        <v>250</v>
      </c>
      <c r="F12" s="58">
        <v>350</v>
      </c>
      <c r="G12" s="58">
        <f>SalesRecord!$F12-SalesRecord!$E12</f>
        <v>100</v>
      </c>
      <c r="H12" s="57">
        <v>9</v>
      </c>
      <c r="I12" s="58">
        <f>SalesRecord!$F12*SalesRecord!$H12</f>
        <v>3150</v>
      </c>
      <c r="J12" s="58">
        <f>SalesRecord!$G12*SalesRecord!$H12</f>
        <v>900</v>
      </c>
      <c r="K12" s="58" cm="1">
        <f t="array" ref="K12">_xlfn.IFS(SalesRecord!$G12&gt;120,0.5*SalesRecord!$G12,SalesRecord!$G12&lt;120,0.25*SalesRecord!$G12)</f>
        <v>25</v>
      </c>
      <c r="L12" s="58" t="s">
        <v>280</v>
      </c>
      <c r="M12" s="58" t="s">
        <v>291</v>
      </c>
    </row>
    <row r="13" spans="1:13" x14ac:dyDescent="0.25">
      <c r="A13" s="59">
        <v>11</v>
      </c>
      <c r="B13" s="60" t="s">
        <v>253</v>
      </c>
      <c r="C13" s="60">
        <v>1011</v>
      </c>
      <c r="D13" s="60" t="s">
        <v>271</v>
      </c>
      <c r="E13" s="61">
        <f>IF(SalesRecord!$D13=" "," ",VLOOKUP(SalesRecord!$D13,W_sheet_Sales_record!$C$3:$D$13,2,FALSE))</f>
        <v>250</v>
      </c>
      <c r="F13" s="61">
        <v>400</v>
      </c>
      <c r="G13" s="61">
        <f>SalesRecord!$F13-SalesRecord!$E13</f>
        <v>150</v>
      </c>
      <c r="H13" s="60">
        <v>3</v>
      </c>
      <c r="I13" s="61">
        <f>SalesRecord!$F13*SalesRecord!$H13</f>
        <v>1200</v>
      </c>
      <c r="J13" s="61">
        <f>SalesRecord!$G13*SalesRecord!$H13</f>
        <v>450</v>
      </c>
      <c r="K13" s="61" cm="1">
        <f t="array" ref="K13">_xlfn.IFS(SalesRecord!$G13&gt;120,0.5*SalesRecord!$G13,SalesRecord!$G13&lt;120,0.25*SalesRecord!$G13)</f>
        <v>75</v>
      </c>
      <c r="L13" s="61" t="s">
        <v>279</v>
      </c>
      <c r="M13" s="61" t="s">
        <v>282</v>
      </c>
    </row>
    <row r="14" spans="1:13" x14ac:dyDescent="0.25">
      <c r="A14" s="56">
        <v>12</v>
      </c>
      <c r="B14" s="57" t="s">
        <v>253</v>
      </c>
      <c r="C14" s="57">
        <v>1012</v>
      </c>
      <c r="D14" s="57" t="s">
        <v>275</v>
      </c>
      <c r="E14" s="58">
        <f>IF(SalesRecord!$D14=" "," ",VLOOKUP(SalesRecord!$D14,W_sheet_Sales_record!$C$3:$D$13,2,FALSE))</f>
        <v>400</v>
      </c>
      <c r="F14" s="58">
        <v>500</v>
      </c>
      <c r="G14" s="58">
        <f>SalesRecord!$F14-SalesRecord!$E14</f>
        <v>100</v>
      </c>
      <c r="H14" s="57">
        <v>6</v>
      </c>
      <c r="I14" s="58">
        <f>SalesRecord!$F14*SalesRecord!$H14</f>
        <v>3000</v>
      </c>
      <c r="J14" s="58">
        <f>SalesRecord!$G14*SalesRecord!$H14</f>
        <v>600</v>
      </c>
      <c r="K14" s="58" cm="1">
        <f t="array" ref="K14">_xlfn.IFS(SalesRecord!$G14&gt;120,0.5*SalesRecord!$G14,SalesRecord!$G14&lt;120,0.25*SalesRecord!$G14)</f>
        <v>25</v>
      </c>
      <c r="L14" s="58" t="s">
        <v>278</v>
      </c>
      <c r="M14" s="58" t="s">
        <v>289</v>
      </c>
    </row>
    <row r="15" spans="1:13" x14ac:dyDescent="0.25">
      <c r="A15" s="59">
        <v>13</v>
      </c>
      <c r="B15" s="60" t="s">
        <v>253</v>
      </c>
      <c r="C15" s="60">
        <v>1013</v>
      </c>
      <c r="D15" s="60" t="s">
        <v>269</v>
      </c>
      <c r="E15" s="61">
        <f>IF(SalesRecord!$D15=" "," ",VLOOKUP(SalesRecord!$D15,W_sheet_Sales_record!$C$3:$D$13,2,FALSE))</f>
        <v>300</v>
      </c>
      <c r="F15" s="61">
        <v>450</v>
      </c>
      <c r="G15" s="61">
        <f>SalesRecord!$F15-SalesRecord!$E15</f>
        <v>150</v>
      </c>
      <c r="H15" s="60">
        <v>8</v>
      </c>
      <c r="I15" s="61">
        <f>SalesRecord!$F15*SalesRecord!$H15</f>
        <v>3600</v>
      </c>
      <c r="J15" s="61">
        <f>SalesRecord!$G15*SalesRecord!$H15</f>
        <v>1200</v>
      </c>
      <c r="K15" s="61" cm="1">
        <f t="array" ref="K15">_xlfn.IFS(SalesRecord!$G15&gt;120,0.5*SalesRecord!$G15,SalesRecord!$G15&lt;120,0.25*SalesRecord!$G15)</f>
        <v>75</v>
      </c>
      <c r="L15" s="61" t="s">
        <v>278</v>
      </c>
      <c r="M15" s="61" t="s">
        <v>292</v>
      </c>
    </row>
    <row r="16" spans="1:13" x14ac:dyDescent="0.25">
      <c r="A16" s="56">
        <v>14</v>
      </c>
      <c r="B16" s="57" t="s">
        <v>254</v>
      </c>
      <c r="C16" s="57">
        <v>1014</v>
      </c>
      <c r="D16" s="57" t="s">
        <v>268</v>
      </c>
      <c r="E16" s="58">
        <f>IF(SalesRecord!$D16=" "," ",VLOOKUP(SalesRecord!$D16,W_sheet_Sales_record!$C$3:$D$13,2,FALSE))</f>
        <v>250</v>
      </c>
      <c r="F16" s="58">
        <v>400</v>
      </c>
      <c r="G16" s="58">
        <f>SalesRecord!$F16-SalesRecord!$E16</f>
        <v>150</v>
      </c>
      <c r="H16" s="57">
        <v>24</v>
      </c>
      <c r="I16" s="58">
        <f>SalesRecord!$F16*SalesRecord!$H16</f>
        <v>9600</v>
      </c>
      <c r="J16" s="58">
        <f>SalesRecord!$G16*SalesRecord!$H16</f>
        <v>3600</v>
      </c>
      <c r="K16" s="58" cm="1">
        <f t="array" ref="K16">_xlfn.IFS(SalesRecord!$G16&gt;120,0.5*SalesRecord!$G16,SalesRecord!$G16&lt;120,0.25*SalesRecord!$G16)</f>
        <v>75</v>
      </c>
      <c r="L16" s="58" t="s">
        <v>278</v>
      </c>
      <c r="M16" s="58" t="s">
        <v>295</v>
      </c>
    </row>
    <row r="17" spans="1:13" x14ac:dyDescent="0.25">
      <c r="A17" s="59">
        <v>15</v>
      </c>
      <c r="B17" s="60" t="s">
        <v>254</v>
      </c>
      <c r="C17" s="60">
        <v>1015</v>
      </c>
      <c r="D17" s="60" t="s">
        <v>270</v>
      </c>
      <c r="E17" s="61">
        <f>IF(SalesRecord!$D17=" "," ",VLOOKUP(SalesRecord!$D17,W_sheet_Sales_record!$C$3:$D$13,2,FALSE))</f>
        <v>350</v>
      </c>
      <c r="F17" s="61">
        <v>450</v>
      </c>
      <c r="G17" s="61">
        <f>SalesRecord!$F17-SalesRecord!$E17</f>
        <v>100</v>
      </c>
      <c r="H17" s="60">
        <v>8</v>
      </c>
      <c r="I17" s="61">
        <f>SalesRecord!$F17*SalesRecord!$H17</f>
        <v>3600</v>
      </c>
      <c r="J17" s="61">
        <f>SalesRecord!$G17*SalesRecord!$H17</f>
        <v>800</v>
      </c>
      <c r="K17" s="61" cm="1">
        <f t="array" ref="K17">_xlfn.IFS(SalesRecord!$G17&gt;120,0.5*SalesRecord!$G17,SalesRecord!$G17&lt;120,0.25*SalesRecord!$G17)</f>
        <v>25</v>
      </c>
      <c r="L17" s="61" t="s">
        <v>278</v>
      </c>
      <c r="M17" s="61" t="s">
        <v>298</v>
      </c>
    </row>
    <row r="18" spans="1:13" x14ac:dyDescent="0.25">
      <c r="A18" s="56">
        <v>16</v>
      </c>
      <c r="B18" s="57" t="s">
        <v>254</v>
      </c>
      <c r="C18" s="57">
        <v>1016</v>
      </c>
      <c r="D18" s="57" t="s">
        <v>242</v>
      </c>
      <c r="E18" s="58">
        <f>IF(SalesRecord!$D18=" "," ",VLOOKUP(SalesRecord!$D18,W_sheet_Sales_record!$C$3:$D$13,2,FALSE))</f>
        <v>500</v>
      </c>
      <c r="F18" s="58">
        <v>600</v>
      </c>
      <c r="G18" s="58">
        <f>SalesRecord!$F18-SalesRecord!$E18</f>
        <v>100</v>
      </c>
      <c r="H18" s="57">
        <v>9</v>
      </c>
      <c r="I18" s="58">
        <f>SalesRecord!$F18*SalesRecord!$H18</f>
        <v>5400</v>
      </c>
      <c r="J18" s="58">
        <f>SalesRecord!$G18*SalesRecord!$H18</f>
        <v>900</v>
      </c>
      <c r="K18" s="58" cm="1">
        <f t="array" ref="K18">_xlfn.IFS(SalesRecord!$G18&gt;120,0.5*SalesRecord!$G18,SalesRecord!$G18&lt;120,0.25*SalesRecord!$G18)</f>
        <v>25</v>
      </c>
      <c r="L18" s="58" t="s">
        <v>279</v>
      </c>
      <c r="M18" s="58" t="s">
        <v>290</v>
      </c>
    </row>
    <row r="19" spans="1:13" x14ac:dyDescent="0.25">
      <c r="A19" s="59">
        <v>17</v>
      </c>
      <c r="B19" s="60" t="s">
        <v>254</v>
      </c>
      <c r="C19" s="60">
        <v>1017</v>
      </c>
      <c r="D19" s="60" t="s">
        <v>267</v>
      </c>
      <c r="E19" s="61">
        <f>IF(SalesRecord!$D19=" "," ",VLOOKUP(SalesRecord!$D19,W_sheet_Sales_record!$C$3:$D$13,2,FALSE))</f>
        <v>450</v>
      </c>
      <c r="F19" s="61">
        <v>600</v>
      </c>
      <c r="G19" s="61">
        <f>SalesRecord!$F19-SalesRecord!$E19</f>
        <v>150</v>
      </c>
      <c r="H19" s="60">
        <v>6</v>
      </c>
      <c r="I19" s="61">
        <f>SalesRecord!$F19*SalesRecord!$H19</f>
        <v>3600</v>
      </c>
      <c r="J19" s="61">
        <f>SalesRecord!$G19*SalesRecord!$H19</f>
        <v>900</v>
      </c>
      <c r="K19" s="61" cm="1">
        <f t="array" ref="K19">_xlfn.IFS(SalesRecord!$G19&gt;120,0.5*SalesRecord!$G19,SalesRecord!$G19&lt;120,0.25*SalesRecord!$G19)</f>
        <v>75</v>
      </c>
      <c r="L19" s="61" t="s">
        <v>279</v>
      </c>
      <c r="M19" s="61" t="s">
        <v>293</v>
      </c>
    </row>
    <row r="20" spans="1:13" x14ac:dyDescent="0.25">
      <c r="A20" s="56">
        <v>18</v>
      </c>
      <c r="B20" s="57" t="s">
        <v>254</v>
      </c>
      <c r="C20" s="57">
        <v>1018</v>
      </c>
      <c r="D20" s="57" t="s">
        <v>271</v>
      </c>
      <c r="E20" s="58">
        <f>IF(SalesRecord!$D20=" "," ",VLOOKUP(SalesRecord!$D20,W_sheet_Sales_record!$C$3:$D$13,2,FALSE))</f>
        <v>250</v>
      </c>
      <c r="F20" s="58">
        <v>400</v>
      </c>
      <c r="G20" s="58">
        <f>SalesRecord!$F20-SalesRecord!$E20</f>
        <v>150</v>
      </c>
      <c r="H20" s="57">
        <v>12</v>
      </c>
      <c r="I20" s="58">
        <f>SalesRecord!$F20*SalesRecord!$H20</f>
        <v>4800</v>
      </c>
      <c r="J20" s="58">
        <f>SalesRecord!$G20*SalesRecord!$H20</f>
        <v>1800</v>
      </c>
      <c r="K20" s="58" cm="1">
        <f t="array" ref="K20">_xlfn.IFS(SalesRecord!$G20&gt;120,0.5*SalesRecord!$G20,SalesRecord!$G20&lt;120,0.25*SalesRecord!$G20)</f>
        <v>75</v>
      </c>
      <c r="L20" s="58" t="s">
        <v>279</v>
      </c>
      <c r="M20" s="58" t="s">
        <v>296</v>
      </c>
    </row>
    <row r="21" spans="1:13" x14ac:dyDescent="0.25">
      <c r="A21" s="59">
        <v>19</v>
      </c>
      <c r="B21" s="60" t="s">
        <v>254</v>
      </c>
      <c r="C21" s="60">
        <v>1019</v>
      </c>
      <c r="D21" s="60" t="s">
        <v>275</v>
      </c>
      <c r="E21" s="61">
        <f>IF(SalesRecord!$D21=" "," ",VLOOKUP(SalesRecord!$D21,W_sheet_Sales_record!$C$3:$D$13,2,FALSE))</f>
        <v>400</v>
      </c>
      <c r="F21" s="61">
        <v>550</v>
      </c>
      <c r="G21" s="61">
        <f>SalesRecord!$F21-SalesRecord!$E21</f>
        <v>150</v>
      </c>
      <c r="H21" s="60">
        <v>15</v>
      </c>
      <c r="I21" s="61">
        <f>SalesRecord!$F21*SalesRecord!$H21</f>
        <v>8250</v>
      </c>
      <c r="J21" s="61">
        <f>SalesRecord!$G21*SalesRecord!$H21</f>
        <v>2250</v>
      </c>
      <c r="K21" s="61" cm="1">
        <f t="array" ref="K21">_xlfn.IFS(SalesRecord!$G21&gt;120,0.5*SalesRecord!$G21,SalesRecord!$G21&lt;120,0.25*SalesRecord!$G21)</f>
        <v>75</v>
      </c>
      <c r="L21" s="61" t="s">
        <v>279</v>
      </c>
      <c r="M21" s="61" t="s">
        <v>299</v>
      </c>
    </row>
    <row r="22" spans="1:13" x14ac:dyDescent="0.25">
      <c r="A22" s="56">
        <v>20</v>
      </c>
      <c r="B22" s="57" t="s">
        <v>254</v>
      </c>
      <c r="C22" s="57">
        <v>1020</v>
      </c>
      <c r="D22" s="57" t="s">
        <v>269</v>
      </c>
      <c r="E22" s="58">
        <f>IF(SalesRecord!$D22=" "," ",VLOOKUP(SalesRecord!$D22,W_sheet_Sales_record!$C$3:$D$13,2,FALSE))</f>
        <v>300</v>
      </c>
      <c r="F22" s="58">
        <v>400</v>
      </c>
      <c r="G22" s="58">
        <f>SalesRecord!$F22-SalesRecord!$E22</f>
        <v>100</v>
      </c>
      <c r="H22" s="57">
        <v>6</v>
      </c>
      <c r="I22" s="58">
        <f>SalesRecord!$F22*SalesRecord!$H22</f>
        <v>2400</v>
      </c>
      <c r="J22" s="58">
        <f>SalesRecord!$G22*SalesRecord!$H22</f>
        <v>600</v>
      </c>
      <c r="K22" s="58" cm="1">
        <f t="array" ref="K22">_xlfn.IFS(SalesRecord!$G22&gt;120,0.5*SalesRecord!$G22,SalesRecord!$G22&lt;120,0.25*SalesRecord!$G22)</f>
        <v>25</v>
      </c>
      <c r="L22" s="58" t="s">
        <v>280</v>
      </c>
      <c r="M22" s="58" t="s">
        <v>283</v>
      </c>
    </row>
    <row r="23" spans="1:13" x14ac:dyDescent="0.25">
      <c r="A23" s="59">
        <v>21</v>
      </c>
      <c r="B23" s="60" t="s">
        <v>254</v>
      </c>
      <c r="C23" s="60">
        <v>1021</v>
      </c>
      <c r="D23" s="60" t="s">
        <v>272</v>
      </c>
      <c r="E23" s="61">
        <f>IF(SalesRecord!$D23=" "," ",VLOOKUP(SalesRecord!$D23,W_sheet_Sales_record!$C$3:$D$13,2,FALSE))</f>
        <v>450</v>
      </c>
      <c r="F23" s="61">
        <v>550</v>
      </c>
      <c r="G23" s="61">
        <f>SalesRecord!$F23-SalesRecord!$E23</f>
        <v>100</v>
      </c>
      <c r="H23" s="60">
        <v>4</v>
      </c>
      <c r="I23" s="61">
        <f>SalesRecord!$F23*SalesRecord!$H23</f>
        <v>2200</v>
      </c>
      <c r="J23" s="61">
        <f>SalesRecord!$G23*SalesRecord!$H23</f>
        <v>400</v>
      </c>
      <c r="K23" s="61" cm="1">
        <f t="array" ref="K23">_xlfn.IFS(SalesRecord!$G23&gt;120,0.5*SalesRecord!$G23,SalesRecord!$G23&lt;120,0.25*SalesRecord!$G23)</f>
        <v>25</v>
      </c>
      <c r="L23" s="61" t="s">
        <v>280</v>
      </c>
      <c r="M23" s="61" t="s">
        <v>286</v>
      </c>
    </row>
    <row r="24" spans="1:13" x14ac:dyDescent="0.25">
      <c r="A24" s="56">
        <v>22</v>
      </c>
      <c r="B24" s="57" t="s">
        <v>254</v>
      </c>
      <c r="C24" s="57">
        <v>1022</v>
      </c>
      <c r="D24" s="57" t="s">
        <v>268</v>
      </c>
      <c r="E24" s="58">
        <f>IF(SalesRecord!$D24=" "," ",VLOOKUP(SalesRecord!$D24,W_sheet_Sales_record!$C$3:$D$13,2,FALSE))</f>
        <v>250</v>
      </c>
      <c r="F24" s="58">
        <v>350</v>
      </c>
      <c r="G24" s="58">
        <f>SalesRecord!$F24-SalesRecord!$E24</f>
        <v>100</v>
      </c>
      <c r="H24" s="57">
        <v>6</v>
      </c>
      <c r="I24" s="58">
        <f>SalesRecord!$F24*SalesRecord!$H24</f>
        <v>2100</v>
      </c>
      <c r="J24" s="58">
        <f>SalesRecord!$G24*SalesRecord!$H24</f>
        <v>600</v>
      </c>
      <c r="K24" s="58" cm="1">
        <f t="array" ref="K24">_xlfn.IFS(SalesRecord!$G24&gt;120,0.5*SalesRecord!$G24,SalesRecord!$G24&lt;120,0.25*SalesRecord!$G24)</f>
        <v>25</v>
      </c>
      <c r="L24" s="58" t="s">
        <v>280</v>
      </c>
      <c r="M24" s="58" t="s">
        <v>294</v>
      </c>
    </row>
    <row r="25" spans="1:13" x14ac:dyDescent="0.25">
      <c r="A25" s="59">
        <v>23</v>
      </c>
      <c r="B25" s="60" t="s">
        <v>254</v>
      </c>
      <c r="C25" s="60">
        <v>1023</v>
      </c>
      <c r="D25" s="60" t="s">
        <v>270</v>
      </c>
      <c r="E25" s="61">
        <f>IF(SalesRecord!$D25=" "," ",VLOOKUP(SalesRecord!$D25,W_sheet_Sales_record!$C$3:$D$13,2,FALSE))</f>
        <v>350</v>
      </c>
      <c r="F25" s="61">
        <v>450</v>
      </c>
      <c r="G25" s="61">
        <f>SalesRecord!$F25-SalesRecord!$E25</f>
        <v>100</v>
      </c>
      <c r="H25" s="60">
        <v>9</v>
      </c>
      <c r="I25" s="61">
        <f>SalesRecord!$F25*SalesRecord!$H25</f>
        <v>4050</v>
      </c>
      <c r="J25" s="61">
        <f>SalesRecord!$G25*SalesRecord!$H25</f>
        <v>900</v>
      </c>
      <c r="K25" s="61" cm="1">
        <f t="array" ref="K25">_xlfn.IFS(SalesRecord!$G25&gt;120,0.5*SalesRecord!$G25,SalesRecord!$G25&lt;120,0.25*SalesRecord!$G25)</f>
        <v>25</v>
      </c>
      <c r="L25" s="61" t="s">
        <v>280</v>
      </c>
      <c r="M25" s="61" t="s">
        <v>297</v>
      </c>
    </row>
    <row r="26" spans="1:13" x14ac:dyDescent="0.25">
      <c r="A26" s="56">
        <v>24</v>
      </c>
      <c r="B26" s="57" t="s">
        <v>254</v>
      </c>
      <c r="C26" s="57">
        <v>1024</v>
      </c>
      <c r="D26" s="57" t="s">
        <v>242</v>
      </c>
      <c r="E26" s="58">
        <f>IF(SalesRecord!$D26=" "," ",VLOOKUP(SalesRecord!$D26,W_sheet_Sales_record!$C$3:$D$13,2,FALSE))</f>
        <v>500</v>
      </c>
      <c r="F26" s="58">
        <v>700</v>
      </c>
      <c r="G26" s="58">
        <f>SalesRecord!$F26-SalesRecord!$E26</f>
        <v>200</v>
      </c>
      <c r="H26" s="57">
        <v>10</v>
      </c>
      <c r="I26" s="58">
        <f>SalesRecord!$F26*SalesRecord!$H26</f>
        <v>7000</v>
      </c>
      <c r="J26" s="58">
        <f>SalesRecord!$G26*SalesRecord!$H26</f>
        <v>2000</v>
      </c>
      <c r="K26" s="58" cm="1">
        <f t="array" ref="K26">_xlfn.IFS(SalesRecord!$G26&gt;120,0.5*SalesRecord!$G26,SalesRecord!$G26&lt;120,0.25*SalesRecord!$G26)</f>
        <v>100</v>
      </c>
      <c r="L26" s="58" t="s">
        <v>280</v>
      </c>
      <c r="M26" s="58" t="s">
        <v>300</v>
      </c>
    </row>
    <row r="27" spans="1:13" x14ac:dyDescent="0.25">
      <c r="A27" s="59">
        <v>25</v>
      </c>
      <c r="B27" s="60" t="s">
        <v>254</v>
      </c>
      <c r="C27" s="60">
        <v>1025</v>
      </c>
      <c r="D27" s="60" t="s">
        <v>267</v>
      </c>
      <c r="E27" s="61">
        <f>IF(SalesRecord!$D27=" "," ",VLOOKUP(SalesRecord!$D27,W_sheet_Sales_record!$C$3:$D$13,2,FALSE))</f>
        <v>450</v>
      </c>
      <c r="F27" s="61">
        <v>600</v>
      </c>
      <c r="G27" s="61">
        <f>SalesRecord!$F27-SalesRecord!$E27</f>
        <v>150</v>
      </c>
      <c r="H27" s="60">
        <v>11</v>
      </c>
      <c r="I27" s="61">
        <f>SalesRecord!$F27*SalesRecord!$H27</f>
        <v>6600</v>
      </c>
      <c r="J27" s="61">
        <f>SalesRecord!$G27*SalesRecord!$H27</f>
        <v>1650</v>
      </c>
      <c r="K27" s="61" cm="1">
        <f t="array" ref="K27">_xlfn.IFS(SalesRecord!$G27&gt;120,0.5*SalesRecord!$G27,SalesRecord!$G27&lt;120,0.25*SalesRecord!$G27)</f>
        <v>75</v>
      </c>
      <c r="L27" s="61" t="s">
        <v>278</v>
      </c>
      <c r="M27" s="61" t="s">
        <v>281</v>
      </c>
    </row>
    <row r="28" spans="1:13" x14ac:dyDescent="0.25">
      <c r="A28" s="56">
        <v>26</v>
      </c>
      <c r="B28" s="57" t="s">
        <v>254</v>
      </c>
      <c r="C28" s="57">
        <v>1026</v>
      </c>
      <c r="D28" s="57" t="s">
        <v>271</v>
      </c>
      <c r="E28" s="58">
        <f>IF(SalesRecord!$D28=" "," ",VLOOKUP(SalesRecord!$D28,W_sheet_Sales_record!$C$3:$D$13,2,FALSE))</f>
        <v>250</v>
      </c>
      <c r="F28" s="58">
        <v>400</v>
      </c>
      <c r="G28" s="58">
        <f>SalesRecord!$F28-SalesRecord!$E28</f>
        <v>150</v>
      </c>
      <c r="H28" s="57">
        <v>4</v>
      </c>
      <c r="I28" s="58">
        <f>SalesRecord!$F28*SalesRecord!$H28</f>
        <v>1600</v>
      </c>
      <c r="J28" s="58">
        <f>SalesRecord!$G28*SalesRecord!$H28</f>
        <v>600</v>
      </c>
      <c r="K28" s="58" cm="1">
        <f t="array" ref="K28">_xlfn.IFS(SalesRecord!$G28&gt;120,0.5*SalesRecord!$G28,SalesRecord!$G28&lt;120,0.25*SalesRecord!$G28)</f>
        <v>75</v>
      </c>
      <c r="L28" s="58" t="s">
        <v>278</v>
      </c>
      <c r="M28" s="58" t="s">
        <v>284</v>
      </c>
    </row>
    <row r="29" spans="1:13" x14ac:dyDescent="0.25">
      <c r="A29" s="59">
        <v>27</v>
      </c>
      <c r="B29" s="60" t="s">
        <v>255</v>
      </c>
      <c r="C29" s="60">
        <v>1027</v>
      </c>
      <c r="D29" s="60" t="s">
        <v>275</v>
      </c>
      <c r="E29" s="61">
        <f>IF(SalesRecord!$D29=" "," ",VLOOKUP(SalesRecord!$D29,W_sheet_Sales_record!$C$3:$D$13,2,FALSE))</f>
        <v>400</v>
      </c>
      <c r="F29" s="61">
        <v>500</v>
      </c>
      <c r="G29" s="61">
        <f>SalesRecord!$F29-SalesRecord!$E29</f>
        <v>100</v>
      </c>
      <c r="H29" s="60">
        <v>7</v>
      </c>
      <c r="I29" s="61">
        <f>SalesRecord!$F29*SalesRecord!$H29</f>
        <v>3500</v>
      </c>
      <c r="J29" s="61">
        <f>SalesRecord!$G29*SalesRecord!$H29</f>
        <v>700</v>
      </c>
      <c r="K29" s="61" cm="1">
        <f t="array" ref="K29">_xlfn.IFS(SalesRecord!$G29&gt;120,0.5*SalesRecord!$G29,SalesRecord!$G29&lt;120,0.25*SalesRecord!$G29)</f>
        <v>25</v>
      </c>
      <c r="L29" s="61" t="s">
        <v>278</v>
      </c>
      <c r="M29" s="61" t="s">
        <v>289</v>
      </c>
    </row>
    <row r="30" spans="1:13" x14ac:dyDescent="0.25">
      <c r="A30" s="56">
        <v>28</v>
      </c>
      <c r="B30" s="57" t="s">
        <v>255</v>
      </c>
      <c r="C30" s="57">
        <v>1028</v>
      </c>
      <c r="D30" s="57" t="s">
        <v>270</v>
      </c>
      <c r="E30" s="58">
        <f>IF(SalesRecord!$D30=" "," ",VLOOKUP(SalesRecord!$D30,W_sheet_Sales_record!$C$3:$D$13,2,FALSE))</f>
        <v>350</v>
      </c>
      <c r="F30" s="58">
        <v>500</v>
      </c>
      <c r="G30" s="58">
        <f>SalesRecord!$F30-SalesRecord!$E30</f>
        <v>150</v>
      </c>
      <c r="H30" s="57">
        <v>8</v>
      </c>
      <c r="I30" s="58">
        <f>SalesRecord!$F30*SalesRecord!$H30</f>
        <v>4000</v>
      </c>
      <c r="J30" s="58">
        <f>SalesRecord!$G30*SalesRecord!$H30</f>
        <v>1200</v>
      </c>
      <c r="K30" s="58" cm="1">
        <f t="array" ref="K30">_xlfn.IFS(SalesRecord!$G30&gt;120,0.5*SalesRecord!$G30,SalesRecord!$G30&lt;120,0.25*SalesRecord!$G30)</f>
        <v>75</v>
      </c>
      <c r="L30" s="58" t="s">
        <v>278</v>
      </c>
      <c r="M30" s="58" t="s">
        <v>292</v>
      </c>
    </row>
    <row r="31" spans="1:13" x14ac:dyDescent="0.25">
      <c r="A31" s="59">
        <v>29</v>
      </c>
      <c r="B31" s="60" t="s">
        <v>255</v>
      </c>
      <c r="C31" s="60">
        <v>1029</v>
      </c>
      <c r="D31" s="60" t="s">
        <v>273</v>
      </c>
      <c r="E31" s="61">
        <f>IF(SalesRecord!$D31=" "," ",VLOOKUP(SalesRecord!$D31,W_sheet_Sales_record!$C$3:$D$13,2,FALSE))</f>
        <v>400</v>
      </c>
      <c r="F31" s="61">
        <v>550</v>
      </c>
      <c r="G31" s="61">
        <f>SalesRecord!$F31-SalesRecord!$E31</f>
        <v>150</v>
      </c>
      <c r="H31" s="60">
        <v>4</v>
      </c>
      <c r="I31" s="61">
        <f>SalesRecord!$F31*SalesRecord!$H31</f>
        <v>2200</v>
      </c>
      <c r="J31" s="61">
        <f>SalesRecord!$G31*SalesRecord!$H31</f>
        <v>600</v>
      </c>
      <c r="K31" s="61" cm="1">
        <f t="array" ref="K31">_xlfn.IFS(SalesRecord!$G31&gt;120,0.5*SalesRecord!$G31,SalesRecord!$G31&lt;120,0.25*SalesRecord!$G31)</f>
        <v>75</v>
      </c>
      <c r="L31" s="61" t="s">
        <v>278</v>
      </c>
      <c r="M31" s="61" t="s">
        <v>295</v>
      </c>
    </row>
    <row r="32" spans="1:13" x14ac:dyDescent="0.25">
      <c r="A32" s="56">
        <v>30</v>
      </c>
      <c r="B32" s="57" t="s">
        <v>255</v>
      </c>
      <c r="C32" s="57">
        <v>1030</v>
      </c>
      <c r="D32" s="57" t="s">
        <v>274</v>
      </c>
      <c r="E32" s="58">
        <f>IF(SalesRecord!$D32=" "," ",VLOOKUP(SalesRecord!$D32,W_sheet_Sales_record!$C$3:$D$13,2,FALSE))</f>
        <v>200</v>
      </c>
      <c r="F32" s="58">
        <v>400</v>
      </c>
      <c r="G32" s="58">
        <f>SalesRecord!$F32-SalesRecord!$E32</f>
        <v>200</v>
      </c>
      <c r="H32" s="57">
        <v>2</v>
      </c>
      <c r="I32" s="58">
        <f>SalesRecord!$F32*SalesRecord!$H32</f>
        <v>800</v>
      </c>
      <c r="J32" s="58">
        <f>SalesRecord!$G32*SalesRecord!$H32</f>
        <v>400</v>
      </c>
      <c r="K32" s="58" cm="1">
        <f t="array" ref="K32">_xlfn.IFS(SalesRecord!$G32&gt;120,0.5*SalesRecord!$G32,SalesRecord!$G32&lt;120,0.25*SalesRecord!$G32)</f>
        <v>100</v>
      </c>
      <c r="L32" s="58" t="s">
        <v>278</v>
      </c>
      <c r="M32" s="58" t="s">
        <v>298</v>
      </c>
    </row>
    <row r="33" spans="1:13" x14ac:dyDescent="0.25">
      <c r="A33" s="59">
        <v>31</v>
      </c>
      <c r="B33" s="60" t="s">
        <v>255</v>
      </c>
      <c r="C33" s="60">
        <v>1031</v>
      </c>
      <c r="D33" s="60" t="s">
        <v>272</v>
      </c>
      <c r="E33" s="61">
        <f>IF(SalesRecord!$D33=" "," ",VLOOKUP(SalesRecord!$D33,W_sheet_Sales_record!$C$3:$D$13,2,FALSE))</f>
        <v>450</v>
      </c>
      <c r="F33" s="61">
        <v>600</v>
      </c>
      <c r="G33" s="61">
        <f>SalesRecord!$F33-SalesRecord!$E33</f>
        <v>150</v>
      </c>
      <c r="H33" s="60">
        <v>1</v>
      </c>
      <c r="I33" s="61">
        <f>SalesRecord!$F33*SalesRecord!$H33</f>
        <v>600</v>
      </c>
      <c r="J33" s="61">
        <f>SalesRecord!$G33*SalesRecord!$H33</f>
        <v>150</v>
      </c>
      <c r="K33" s="61" cm="1">
        <f t="array" ref="K33">_xlfn.IFS(SalesRecord!$G33&gt;120,0.5*SalesRecord!$G33,SalesRecord!$G33&lt;120,0.25*SalesRecord!$G33)</f>
        <v>75</v>
      </c>
      <c r="L33" s="61" t="s">
        <v>279</v>
      </c>
      <c r="M33" s="61" t="s">
        <v>282</v>
      </c>
    </row>
    <row r="34" spans="1:13" x14ac:dyDescent="0.25">
      <c r="A34" s="56">
        <v>32</v>
      </c>
      <c r="B34" s="57" t="s">
        <v>255</v>
      </c>
      <c r="C34" s="57">
        <v>1032</v>
      </c>
      <c r="D34" s="57" t="s">
        <v>270</v>
      </c>
      <c r="E34" s="58">
        <f>IF(SalesRecord!$D34=" "," ",VLOOKUP(SalesRecord!$D34,W_sheet_Sales_record!$C$3:$D$13,2,FALSE))</f>
        <v>350</v>
      </c>
      <c r="F34" s="58">
        <v>450</v>
      </c>
      <c r="G34" s="58">
        <f>SalesRecord!$F34-SalesRecord!$E34</f>
        <v>100</v>
      </c>
      <c r="H34" s="57">
        <v>5</v>
      </c>
      <c r="I34" s="58">
        <f>SalesRecord!$F34*SalesRecord!$H34</f>
        <v>2250</v>
      </c>
      <c r="J34" s="58">
        <f>SalesRecord!$G34*SalesRecord!$H34</f>
        <v>500</v>
      </c>
      <c r="K34" s="58" cm="1">
        <f t="array" ref="K34">_xlfn.IFS(SalesRecord!$G34&gt;120,0.5*SalesRecord!$G34,SalesRecord!$G34&lt;120,0.25*SalesRecord!$G34)</f>
        <v>25</v>
      </c>
      <c r="L34" s="58" t="s">
        <v>279</v>
      </c>
      <c r="M34" s="58" t="s">
        <v>285</v>
      </c>
    </row>
    <row r="35" spans="1:13" x14ac:dyDescent="0.25">
      <c r="A35" s="59">
        <v>33</v>
      </c>
      <c r="B35" s="60" t="s">
        <v>255</v>
      </c>
      <c r="C35" s="60">
        <v>1033</v>
      </c>
      <c r="D35" s="60" t="s">
        <v>267</v>
      </c>
      <c r="E35" s="61">
        <f>IF(SalesRecord!$D35=" "," ",VLOOKUP(SalesRecord!$D35,W_sheet_Sales_record!$C$3:$D$13,2,FALSE))</f>
        <v>450</v>
      </c>
      <c r="F35" s="61">
        <v>550</v>
      </c>
      <c r="G35" s="61">
        <f>SalesRecord!$F35-SalesRecord!$E35</f>
        <v>100</v>
      </c>
      <c r="H35" s="60">
        <v>4</v>
      </c>
      <c r="I35" s="61">
        <f>SalesRecord!$F35*SalesRecord!$H35</f>
        <v>2200</v>
      </c>
      <c r="J35" s="61">
        <f>SalesRecord!$G35*SalesRecord!$H35</f>
        <v>400</v>
      </c>
      <c r="K35" s="61" cm="1">
        <f t="array" ref="K35">_xlfn.IFS(SalesRecord!$G35&gt;120,0.5*SalesRecord!$G35,SalesRecord!$G35&lt;120,0.25*SalesRecord!$G35)</f>
        <v>25</v>
      </c>
      <c r="L35" s="61" t="s">
        <v>279</v>
      </c>
      <c r="M35" s="61" t="s">
        <v>290</v>
      </c>
    </row>
    <row r="36" spans="1:13" x14ac:dyDescent="0.25">
      <c r="A36" s="56">
        <v>34</v>
      </c>
      <c r="B36" s="57" t="s">
        <v>255</v>
      </c>
      <c r="C36" s="57">
        <v>1034</v>
      </c>
      <c r="D36" s="57" t="s">
        <v>274</v>
      </c>
      <c r="E36" s="58">
        <f>IF(SalesRecord!$D36=" "," ",VLOOKUP(SalesRecord!$D36,W_sheet_Sales_record!$C$3:$D$13,2,FALSE))</f>
        <v>200</v>
      </c>
      <c r="F36" s="58">
        <v>300</v>
      </c>
      <c r="G36" s="58">
        <f>SalesRecord!$F36-SalesRecord!$E36</f>
        <v>100</v>
      </c>
      <c r="H36" s="57">
        <v>7</v>
      </c>
      <c r="I36" s="58">
        <f>SalesRecord!$F36*SalesRecord!$H36</f>
        <v>2100</v>
      </c>
      <c r="J36" s="58">
        <f>SalesRecord!$G36*SalesRecord!$H36</f>
        <v>700</v>
      </c>
      <c r="K36" s="58" cm="1">
        <f t="array" ref="K36">_xlfn.IFS(SalesRecord!$G36&gt;120,0.5*SalesRecord!$G36,SalesRecord!$G36&lt;120,0.25*SalesRecord!$G36)</f>
        <v>25</v>
      </c>
      <c r="L36" s="58" t="s">
        <v>279</v>
      </c>
      <c r="M36" s="58" t="s">
        <v>293</v>
      </c>
    </row>
    <row r="37" spans="1:13" x14ac:dyDescent="0.25">
      <c r="A37" s="59">
        <v>35</v>
      </c>
      <c r="B37" s="60" t="s">
        <v>255</v>
      </c>
      <c r="C37" s="60">
        <v>1035</v>
      </c>
      <c r="D37" s="60" t="s">
        <v>275</v>
      </c>
      <c r="E37" s="61">
        <f>IF(SalesRecord!$D37=" "," ",VLOOKUP(SalesRecord!$D37,W_sheet_Sales_record!$C$3:$D$13,2,FALSE))</f>
        <v>400</v>
      </c>
      <c r="F37" s="61">
        <v>500</v>
      </c>
      <c r="G37" s="61">
        <f>SalesRecord!$F37-SalesRecord!$E37</f>
        <v>100</v>
      </c>
      <c r="H37" s="60">
        <v>9</v>
      </c>
      <c r="I37" s="61">
        <f>SalesRecord!$F37*SalesRecord!$H37</f>
        <v>4500</v>
      </c>
      <c r="J37" s="61">
        <f>SalesRecord!$G37*SalesRecord!$H37</f>
        <v>900</v>
      </c>
      <c r="K37" s="61" cm="1">
        <f t="array" ref="K37">_xlfn.IFS(SalesRecord!$G37&gt;120,0.5*SalesRecord!$G37,SalesRecord!$G37&lt;120,0.25*SalesRecord!$G37)</f>
        <v>25</v>
      </c>
      <c r="L37" s="61" t="s">
        <v>279</v>
      </c>
      <c r="M37" s="61" t="s">
        <v>296</v>
      </c>
    </row>
    <row r="38" spans="1:13" x14ac:dyDescent="0.25">
      <c r="A38" s="56">
        <v>36</v>
      </c>
      <c r="B38" s="57" t="s">
        <v>255</v>
      </c>
      <c r="C38" s="57">
        <v>1036</v>
      </c>
      <c r="D38" s="57" t="s">
        <v>273</v>
      </c>
      <c r="E38" s="58">
        <f>IF(SalesRecord!$D38=" "," ",VLOOKUP(SalesRecord!$D38,W_sheet_Sales_record!$C$3:$D$13,2,FALSE))</f>
        <v>400</v>
      </c>
      <c r="F38" s="58">
        <v>500</v>
      </c>
      <c r="G38" s="58">
        <f>SalesRecord!$F38-SalesRecord!$E38</f>
        <v>100</v>
      </c>
      <c r="H38" s="57">
        <v>10</v>
      </c>
      <c r="I38" s="58">
        <f>SalesRecord!$F38*SalesRecord!$H38</f>
        <v>5000</v>
      </c>
      <c r="J38" s="58">
        <f>SalesRecord!$G38*SalesRecord!$H38</f>
        <v>1000</v>
      </c>
      <c r="K38" s="58" cm="1">
        <f t="array" ref="K38">_xlfn.IFS(SalesRecord!$G38&gt;120,0.5*SalesRecord!$G38,SalesRecord!$G38&lt;120,0.25*SalesRecord!$G38)</f>
        <v>25</v>
      </c>
      <c r="L38" s="58" t="s">
        <v>279</v>
      </c>
      <c r="M38" s="58" t="s">
        <v>299</v>
      </c>
    </row>
    <row r="39" spans="1:13" x14ac:dyDescent="0.25">
      <c r="A39" s="59">
        <v>37</v>
      </c>
      <c r="B39" s="60" t="s">
        <v>255</v>
      </c>
      <c r="C39" s="60">
        <v>1037</v>
      </c>
      <c r="D39" s="60" t="s">
        <v>268</v>
      </c>
      <c r="E39" s="61">
        <f>IF(SalesRecord!$D39=" "," ",VLOOKUP(SalesRecord!$D39,W_sheet_Sales_record!$C$3:$D$13,2,FALSE))</f>
        <v>250</v>
      </c>
      <c r="F39" s="61">
        <v>400</v>
      </c>
      <c r="G39" s="61">
        <f>SalesRecord!$F39-SalesRecord!$E39</f>
        <v>150</v>
      </c>
      <c r="H39" s="60">
        <v>13</v>
      </c>
      <c r="I39" s="61">
        <f>SalesRecord!$F39*SalesRecord!$H39</f>
        <v>5200</v>
      </c>
      <c r="J39" s="61">
        <f>SalesRecord!$G39*SalesRecord!$H39</f>
        <v>1950</v>
      </c>
      <c r="K39" s="61" cm="1">
        <f t="array" ref="K39">_xlfn.IFS(SalesRecord!$G39&gt;120,0.5*SalesRecord!$G39,SalesRecord!$G39&lt;120,0.25*SalesRecord!$G39)</f>
        <v>75</v>
      </c>
      <c r="L39" s="61" t="s">
        <v>280</v>
      </c>
      <c r="M39" s="61" t="s">
        <v>283</v>
      </c>
    </row>
    <row r="40" spans="1:13" x14ac:dyDescent="0.25">
      <c r="A40" s="56">
        <v>38</v>
      </c>
      <c r="B40" s="57" t="s">
        <v>255</v>
      </c>
      <c r="C40" s="57">
        <v>1038</v>
      </c>
      <c r="D40" s="57" t="s">
        <v>242</v>
      </c>
      <c r="E40" s="58">
        <f>IF(SalesRecord!$D40=" "," ",VLOOKUP(SalesRecord!$D40,W_sheet_Sales_record!$C$3:$D$13,2,FALSE))</f>
        <v>500</v>
      </c>
      <c r="F40" s="58">
        <v>550</v>
      </c>
      <c r="G40" s="58">
        <f>SalesRecord!$F40-SalesRecord!$E40</f>
        <v>50</v>
      </c>
      <c r="H40" s="57">
        <v>24</v>
      </c>
      <c r="I40" s="58">
        <f>SalesRecord!$F40*SalesRecord!$H40</f>
        <v>13200</v>
      </c>
      <c r="J40" s="58">
        <f>SalesRecord!$G40*SalesRecord!$H40</f>
        <v>1200</v>
      </c>
      <c r="K40" s="58" cm="1">
        <f t="array" ref="K40">_xlfn.IFS(SalesRecord!$G40&gt;120,0.5*SalesRecord!$G40,SalesRecord!$G40&lt;120,0.25*SalesRecord!$G40)</f>
        <v>12.5</v>
      </c>
      <c r="L40" s="58" t="s">
        <v>280</v>
      </c>
      <c r="M40" s="58" t="s">
        <v>286</v>
      </c>
    </row>
    <row r="41" spans="1:13" x14ac:dyDescent="0.25">
      <c r="A41" s="59">
        <v>39</v>
      </c>
      <c r="B41" s="60" t="s">
        <v>255</v>
      </c>
      <c r="C41" s="60">
        <v>1039</v>
      </c>
      <c r="D41" s="60" t="s">
        <v>269</v>
      </c>
      <c r="E41" s="61">
        <f>IF(SalesRecord!$D41=" "," ",VLOOKUP(SalesRecord!$D41,W_sheet_Sales_record!$C$3:$D$13,2,FALSE))</f>
        <v>300</v>
      </c>
      <c r="F41" s="61">
        <v>400</v>
      </c>
      <c r="G41" s="61">
        <f>SalesRecord!$F41-SalesRecord!$E41</f>
        <v>100</v>
      </c>
      <c r="H41" s="60">
        <v>1</v>
      </c>
      <c r="I41" s="61">
        <f>SalesRecord!$F41*SalesRecord!$H41</f>
        <v>400</v>
      </c>
      <c r="J41" s="61">
        <f>SalesRecord!$G41*SalesRecord!$H41</f>
        <v>100</v>
      </c>
      <c r="K41" s="61" cm="1">
        <f t="array" ref="K41">_xlfn.IFS(SalesRecord!$G41&gt;120,0.5*SalesRecord!$G41,SalesRecord!$G41&lt;120,0.25*SalesRecord!$G41)</f>
        <v>25</v>
      </c>
      <c r="L41" s="61" t="s">
        <v>280</v>
      </c>
      <c r="M41" s="61" t="s">
        <v>291</v>
      </c>
    </row>
    <row r="42" spans="1:13" x14ac:dyDescent="0.25">
      <c r="A42" s="56">
        <v>40</v>
      </c>
      <c r="B42" s="57" t="s">
        <v>256</v>
      </c>
      <c r="C42" s="57">
        <v>1040</v>
      </c>
      <c r="D42" s="57" t="s">
        <v>271</v>
      </c>
      <c r="E42" s="58">
        <f>IF(SalesRecord!$D42=" "," ",VLOOKUP(SalesRecord!$D42,W_sheet_Sales_record!$C$3:$D$13,2,FALSE))</f>
        <v>250</v>
      </c>
      <c r="F42" s="58">
        <v>400</v>
      </c>
      <c r="G42" s="58">
        <f>SalesRecord!$F42-SalesRecord!$E42</f>
        <v>150</v>
      </c>
      <c r="H42" s="57">
        <v>5</v>
      </c>
      <c r="I42" s="58">
        <f>SalesRecord!$F42*SalesRecord!$H42</f>
        <v>2000</v>
      </c>
      <c r="J42" s="58">
        <f>SalesRecord!$G42*SalesRecord!$H42</f>
        <v>750</v>
      </c>
      <c r="K42" s="58" cm="1">
        <f t="array" ref="K42">_xlfn.IFS(SalesRecord!$G42&gt;120,0.5*SalesRecord!$G42,SalesRecord!$G42&lt;120,0.25*SalesRecord!$G42)</f>
        <v>75</v>
      </c>
      <c r="L42" s="58" t="s">
        <v>280</v>
      </c>
      <c r="M42" s="58" t="s">
        <v>294</v>
      </c>
    </row>
    <row r="43" spans="1:13" x14ac:dyDescent="0.25">
      <c r="A43" s="59">
        <v>41</v>
      </c>
      <c r="B43" s="60" t="s">
        <v>256</v>
      </c>
      <c r="C43" s="60">
        <v>1041</v>
      </c>
      <c r="D43" s="60" t="s">
        <v>267</v>
      </c>
      <c r="E43" s="61">
        <f>IF(SalesRecord!$D43=" "," ",VLOOKUP(SalesRecord!$D43,W_sheet_Sales_record!$C$3:$D$13,2,FALSE))</f>
        <v>450</v>
      </c>
      <c r="F43" s="61">
        <v>550</v>
      </c>
      <c r="G43" s="61">
        <f>SalesRecord!$F43-SalesRecord!$E43</f>
        <v>100</v>
      </c>
      <c r="H43" s="60">
        <v>13</v>
      </c>
      <c r="I43" s="61">
        <f>SalesRecord!$F43*SalesRecord!$H43</f>
        <v>7150</v>
      </c>
      <c r="J43" s="61">
        <f>SalesRecord!$G43*SalesRecord!$H43</f>
        <v>1300</v>
      </c>
      <c r="K43" s="61" cm="1">
        <f t="array" ref="K43">_xlfn.IFS(SalesRecord!$G43&gt;120,0.5*SalesRecord!$G43,SalesRecord!$G43&lt;120,0.25*SalesRecord!$G43)</f>
        <v>25</v>
      </c>
      <c r="L43" s="61" t="s">
        <v>280</v>
      </c>
      <c r="M43" s="61" t="s">
        <v>297</v>
      </c>
    </row>
    <row r="44" spans="1:13" x14ac:dyDescent="0.25">
      <c r="A44" s="56">
        <v>42</v>
      </c>
      <c r="B44" s="57" t="s">
        <v>256</v>
      </c>
      <c r="C44" s="57">
        <v>1042</v>
      </c>
      <c r="D44" s="57" t="s">
        <v>275</v>
      </c>
      <c r="E44" s="58">
        <f>IF(SalesRecord!$D44=" "," ",VLOOKUP(SalesRecord!$D44,W_sheet_Sales_record!$C$3:$D$13,2,FALSE))</f>
        <v>400</v>
      </c>
      <c r="F44" s="58">
        <v>500</v>
      </c>
      <c r="G44" s="58">
        <f>SalesRecord!$F44-SalesRecord!$E44</f>
        <v>100</v>
      </c>
      <c r="H44" s="57">
        <v>2</v>
      </c>
      <c r="I44" s="58">
        <f>SalesRecord!$F44*SalesRecord!$H44</f>
        <v>1000</v>
      </c>
      <c r="J44" s="58">
        <f>SalesRecord!$G44*SalesRecord!$H44</f>
        <v>200</v>
      </c>
      <c r="K44" s="58" cm="1">
        <f t="array" ref="K44">_xlfn.IFS(SalesRecord!$G44&gt;120,0.5*SalesRecord!$G44,SalesRecord!$G44&lt;120,0.25*SalesRecord!$G44)</f>
        <v>25</v>
      </c>
      <c r="L44" s="58" t="s">
        <v>280</v>
      </c>
      <c r="M44" s="58" t="s">
        <v>300</v>
      </c>
    </row>
    <row r="45" spans="1:13" x14ac:dyDescent="0.25">
      <c r="A45" s="59">
        <v>43</v>
      </c>
      <c r="B45" s="60" t="s">
        <v>256</v>
      </c>
      <c r="C45" s="60">
        <v>1043</v>
      </c>
      <c r="D45" s="60" t="s">
        <v>269</v>
      </c>
      <c r="E45" s="61">
        <f>IF(SalesRecord!$D45=" "," ",VLOOKUP(SalesRecord!$D45,W_sheet_Sales_record!$C$3:$D$13,2,FALSE))</f>
        <v>300</v>
      </c>
      <c r="F45" s="61">
        <v>450</v>
      </c>
      <c r="G45" s="61">
        <f>SalesRecord!$F45-SalesRecord!$E45</f>
        <v>150</v>
      </c>
      <c r="H45" s="60">
        <v>4</v>
      </c>
      <c r="I45" s="61">
        <f>SalesRecord!$F45*SalesRecord!$H45</f>
        <v>1800</v>
      </c>
      <c r="J45" s="61">
        <f>SalesRecord!$G45*SalesRecord!$H45</f>
        <v>600</v>
      </c>
      <c r="K45" s="61" cm="1">
        <f t="array" ref="K45">_xlfn.IFS(SalesRecord!$G45&gt;120,0.5*SalesRecord!$G45,SalesRecord!$G45&lt;120,0.25*SalesRecord!$G45)</f>
        <v>75</v>
      </c>
      <c r="L45" s="61" t="s">
        <v>278</v>
      </c>
      <c r="M45" s="61" t="s">
        <v>281</v>
      </c>
    </row>
    <row r="46" spans="1:13" x14ac:dyDescent="0.25">
      <c r="A46" s="56">
        <v>44</v>
      </c>
      <c r="B46" s="57" t="s">
        <v>256</v>
      </c>
      <c r="C46" s="57">
        <v>1044</v>
      </c>
      <c r="D46" s="57" t="s">
        <v>272</v>
      </c>
      <c r="E46" s="58">
        <f>IF(SalesRecord!$D46=" "," ",VLOOKUP(SalesRecord!$D46,W_sheet_Sales_record!$C$3:$D$13,2,FALSE))</f>
        <v>450</v>
      </c>
      <c r="F46" s="58">
        <v>550</v>
      </c>
      <c r="G46" s="58">
        <f>SalesRecord!$F46-SalesRecord!$E46</f>
        <v>100</v>
      </c>
      <c r="H46" s="57">
        <v>5</v>
      </c>
      <c r="I46" s="58">
        <f>SalesRecord!$F46*SalesRecord!$H46</f>
        <v>2750</v>
      </c>
      <c r="J46" s="58">
        <f>SalesRecord!$G46*SalesRecord!$H46</f>
        <v>500</v>
      </c>
      <c r="K46" s="58" cm="1">
        <f t="array" ref="K46">_xlfn.IFS(SalesRecord!$G46&gt;120,0.5*SalesRecord!$G46,SalesRecord!$G46&lt;120,0.25*SalesRecord!$G46)</f>
        <v>25</v>
      </c>
      <c r="L46" s="58" t="s">
        <v>278</v>
      </c>
      <c r="M46" s="58" t="s">
        <v>284</v>
      </c>
    </row>
    <row r="47" spans="1:13" x14ac:dyDescent="0.25">
      <c r="A47" s="59">
        <v>45</v>
      </c>
      <c r="B47" s="60" t="s">
        <v>256</v>
      </c>
      <c r="C47" s="60">
        <v>1045</v>
      </c>
      <c r="D47" s="60" t="s">
        <v>268</v>
      </c>
      <c r="E47" s="61">
        <f>IF(SalesRecord!$D47=" "," ",VLOOKUP(SalesRecord!$D47,W_sheet_Sales_record!$C$3:$D$13,2,FALSE))</f>
        <v>250</v>
      </c>
      <c r="F47" s="61">
        <v>400</v>
      </c>
      <c r="G47" s="61">
        <f>SalesRecord!$F47-SalesRecord!$E47</f>
        <v>150</v>
      </c>
      <c r="H47" s="60">
        <v>6</v>
      </c>
      <c r="I47" s="61">
        <f>SalesRecord!$F47*SalesRecord!$H47</f>
        <v>2400</v>
      </c>
      <c r="J47" s="61">
        <f>SalesRecord!$G47*SalesRecord!$H47</f>
        <v>900</v>
      </c>
      <c r="K47" s="61" cm="1">
        <f t="array" ref="K47">_xlfn.IFS(SalesRecord!$G47&gt;120,0.5*SalesRecord!$G47,SalesRecord!$G47&lt;120,0.25*SalesRecord!$G47)</f>
        <v>75</v>
      </c>
      <c r="L47" s="61" t="s">
        <v>278</v>
      </c>
      <c r="M47" s="61" t="s">
        <v>289</v>
      </c>
    </row>
    <row r="48" spans="1:13" x14ac:dyDescent="0.25">
      <c r="A48" s="56">
        <v>46</v>
      </c>
      <c r="B48" s="57" t="s">
        <v>256</v>
      </c>
      <c r="C48" s="57">
        <v>1046</v>
      </c>
      <c r="D48" s="57" t="s">
        <v>270</v>
      </c>
      <c r="E48" s="58">
        <f>IF(SalesRecord!$D48=" "," ",VLOOKUP(SalesRecord!$D48,W_sheet_Sales_record!$C$3:$D$13,2,FALSE))</f>
        <v>350</v>
      </c>
      <c r="F48" s="58">
        <v>500</v>
      </c>
      <c r="G48" s="58">
        <f>SalesRecord!$F48-SalesRecord!$E48</f>
        <v>150</v>
      </c>
      <c r="H48" s="57">
        <v>7</v>
      </c>
      <c r="I48" s="58">
        <f>SalesRecord!$F48*SalesRecord!$H48</f>
        <v>3500</v>
      </c>
      <c r="J48" s="58">
        <f>SalesRecord!$G48*SalesRecord!$H48</f>
        <v>1050</v>
      </c>
      <c r="K48" s="58" cm="1">
        <f t="array" ref="K48">_xlfn.IFS(SalesRecord!$G48&gt;120,0.5*SalesRecord!$G48,SalesRecord!$G48&lt;120,0.25*SalesRecord!$G48)</f>
        <v>75</v>
      </c>
      <c r="L48" s="58" t="s">
        <v>278</v>
      </c>
      <c r="M48" s="58" t="s">
        <v>292</v>
      </c>
    </row>
    <row r="49" spans="1:13" x14ac:dyDescent="0.25">
      <c r="A49" s="59">
        <v>47</v>
      </c>
      <c r="B49" s="60" t="s">
        <v>256</v>
      </c>
      <c r="C49" s="60">
        <v>1047</v>
      </c>
      <c r="D49" s="60" t="s">
        <v>273</v>
      </c>
      <c r="E49" s="61">
        <f>IF(SalesRecord!$D49=" "," ",VLOOKUP(SalesRecord!$D49,W_sheet_Sales_record!$C$3:$D$13,2,FALSE))</f>
        <v>400</v>
      </c>
      <c r="F49" s="61">
        <v>500</v>
      </c>
      <c r="G49" s="61">
        <f>SalesRecord!$F49-SalesRecord!$E49</f>
        <v>100</v>
      </c>
      <c r="H49" s="60">
        <v>7</v>
      </c>
      <c r="I49" s="61">
        <f>SalesRecord!$F49*SalesRecord!$H49</f>
        <v>3500</v>
      </c>
      <c r="J49" s="61">
        <f>SalesRecord!$G49*SalesRecord!$H49</f>
        <v>700</v>
      </c>
      <c r="K49" s="61" cm="1">
        <f t="array" ref="K49">_xlfn.IFS(SalesRecord!$G49&gt;120,0.5*SalesRecord!$G49,SalesRecord!$G49&lt;120,0.25*SalesRecord!$G49)</f>
        <v>25</v>
      </c>
      <c r="L49" s="61" t="s">
        <v>278</v>
      </c>
      <c r="M49" s="61" t="s">
        <v>295</v>
      </c>
    </row>
    <row r="50" spans="1:13" x14ac:dyDescent="0.25">
      <c r="A50" s="56">
        <v>48</v>
      </c>
      <c r="B50" s="57" t="s">
        <v>256</v>
      </c>
      <c r="C50" s="57">
        <v>1048</v>
      </c>
      <c r="D50" s="57" t="s">
        <v>274</v>
      </c>
      <c r="E50" s="58">
        <f>IF(SalesRecord!$D50=" "," ",VLOOKUP(SalesRecord!$D50,W_sheet_Sales_record!$C$3:$D$13,2,FALSE))</f>
        <v>200</v>
      </c>
      <c r="F50" s="58">
        <v>350</v>
      </c>
      <c r="G50" s="58">
        <f>SalesRecord!$F50-SalesRecord!$E50</f>
        <v>150</v>
      </c>
      <c r="H50" s="57">
        <v>8</v>
      </c>
      <c r="I50" s="58">
        <f>SalesRecord!$F50*SalesRecord!$H50</f>
        <v>2800</v>
      </c>
      <c r="J50" s="58">
        <f>SalesRecord!$G50*SalesRecord!$H50</f>
        <v>1200</v>
      </c>
      <c r="K50" s="58" cm="1">
        <f t="array" ref="K50">_xlfn.IFS(SalesRecord!$G50&gt;120,0.5*SalesRecord!$G50,SalesRecord!$G50&lt;120,0.25*SalesRecord!$G50)</f>
        <v>75</v>
      </c>
      <c r="L50" s="58" t="s">
        <v>278</v>
      </c>
      <c r="M50" s="58" t="s">
        <v>298</v>
      </c>
    </row>
    <row r="51" spans="1:13" x14ac:dyDescent="0.25">
      <c r="A51" s="59">
        <v>49</v>
      </c>
      <c r="B51" s="60" t="s">
        <v>256</v>
      </c>
      <c r="C51" s="60">
        <v>1049</v>
      </c>
      <c r="D51" s="60" t="s">
        <v>242</v>
      </c>
      <c r="E51" s="61">
        <f>IF(SalesRecord!$D51=" "," ",VLOOKUP(SalesRecord!$D51,W_sheet_Sales_record!$C$3:$D$13,2,FALSE))</f>
        <v>500</v>
      </c>
      <c r="F51" s="61">
        <v>600</v>
      </c>
      <c r="G51" s="61">
        <f>SalesRecord!$F51-SalesRecord!$E51</f>
        <v>100</v>
      </c>
      <c r="H51" s="60">
        <v>9</v>
      </c>
      <c r="I51" s="61">
        <f>SalesRecord!$F51*SalesRecord!$H51</f>
        <v>5400</v>
      </c>
      <c r="J51" s="61">
        <f>SalesRecord!$G51*SalesRecord!$H51</f>
        <v>900</v>
      </c>
      <c r="K51" s="61" cm="1">
        <f t="array" ref="K51">_xlfn.IFS(SalesRecord!$G51&gt;120,0.5*SalesRecord!$G51,SalesRecord!$G51&lt;120,0.25*SalesRecord!$G51)</f>
        <v>25</v>
      </c>
      <c r="L51" s="61" t="s">
        <v>279</v>
      </c>
      <c r="M51" s="61" t="s">
        <v>282</v>
      </c>
    </row>
    <row r="52" spans="1:13" x14ac:dyDescent="0.25">
      <c r="A52" s="56">
        <v>50</v>
      </c>
      <c r="B52" s="57" t="s">
        <v>256</v>
      </c>
      <c r="C52" s="57">
        <v>1050</v>
      </c>
      <c r="D52" s="57" t="s">
        <v>267</v>
      </c>
      <c r="E52" s="58">
        <f>IF(SalesRecord!$D52=" "," ",VLOOKUP(SalesRecord!$D52,W_sheet_Sales_record!$C$3:$D$13,2,FALSE))</f>
        <v>450</v>
      </c>
      <c r="F52" s="58">
        <v>550</v>
      </c>
      <c r="G52" s="58">
        <f>SalesRecord!$F52-SalesRecord!$E52</f>
        <v>100</v>
      </c>
      <c r="H52" s="57">
        <v>10</v>
      </c>
      <c r="I52" s="58">
        <f>SalesRecord!$F52*SalesRecord!$H52</f>
        <v>5500</v>
      </c>
      <c r="J52" s="58">
        <f>SalesRecord!$G52*SalesRecord!$H52</f>
        <v>1000</v>
      </c>
      <c r="K52" s="58" cm="1">
        <f t="array" ref="K52">_xlfn.IFS(SalesRecord!$G52&gt;120,0.5*SalesRecord!$G52,SalesRecord!$G52&lt;120,0.25*SalesRecord!$G52)</f>
        <v>25</v>
      </c>
      <c r="L52" s="58" t="s">
        <v>279</v>
      </c>
      <c r="M52" s="58" t="s">
        <v>285</v>
      </c>
    </row>
    <row r="53" spans="1:13" x14ac:dyDescent="0.25">
      <c r="A53" s="59">
        <v>51</v>
      </c>
      <c r="B53" s="60" t="s">
        <v>256</v>
      </c>
      <c r="C53" s="60">
        <v>1051</v>
      </c>
      <c r="D53" s="60" t="s">
        <v>271</v>
      </c>
      <c r="E53" s="61">
        <f>IF(SalesRecord!$D53=" "," ",VLOOKUP(SalesRecord!$D53,W_sheet_Sales_record!$C$3:$D$13,2,FALSE))</f>
        <v>250</v>
      </c>
      <c r="F53" s="61">
        <v>400</v>
      </c>
      <c r="G53" s="61">
        <f>SalesRecord!$F53-SalesRecord!$E53</f>
        <v>150</v>
      </c>
      <c r="H53" s="60">
        <v>15</v>
      </c>
      <c r="I53" s="61">
        <f>SalesRecord!$F53*SalesRecord!$H53</f>
        <v>6000</v>
      </c>
      <c r="J53" s="61">
        <f>SalesRecord!$G53*SalesRecord!$H53</f>
        <v>2250</v>
      </c>
      <c r="K53" s="61" cm="1">
        <f t="array" ref="K53">_xlfn.IFS(SalesRecord!$G53&gt;120,0.5*SalesRecord!$G53,SalesRecord!$G53&lt;120,0.25*SalesRecord!$G53)</f>
        <v>75</v>
      </c>
      <c r="L53" s="61" t="s">
        <v>279</v>
      </c>
      <c r="M53" s="61" t="s">
        <v>290</v>
      </c>
    </row>
    <row r="54" spans="1:13" x14ac:dyDescent="0.25">
      <c r="A54" s="56">
        <v>52</v>
      </c>
      <c r="B54" s="57" t="s">
        <v>256</v>
      </c>
      <c r="C54" s="57">
        <v>1052</v>
      </c>
      <c r="D54" s="57" t="s">
        <v>275</v>
      </c>
      <c r="E54" s="58">
        <f>IF(SalesRecord!$D54=" "," ",VLOOKUP(SalesRecord!$D54,W_sheet_Sales_record!$C$3:$D$13,2,FALSE))</f>
        <v>400</v>
      </c>
      <c r="F54" s="58">
        <v>500</v>
      </c>
      <c r="G54" s="58">
        <f>SalesRecord!$F54-SalesRecord!$E54</f>
        <v>100</v>
      </c>
      <c r="H54" s="57">
        <v>9</v>
      </c>
      <c r="I54" s="58">
        <f>SalesRecord!$F54*SalesRecord!$H54</f>
        <v>4500</v>
      </c>
      <c r="J54" s="58">
        <f>SalesRecord!$G54*SalesRecord!$H54</f>
        <v>900</v>
      </c>
      <c r="K54" s="58" cm="1">
        <f t="array" ref="K54">_xlfn.IFS(SalesRecord!$G54&gt;120,0.5*SalesRecord!$G54,SalesRecord!$G54&lt;120,0.25*SalesRecord!$G54)</f>
        <v>25</v>
      </c>
      <c r="L54" s="58" t="s">
        <v>279</v>
      </c>
      <c r="M54" s="58" t="s">
        <v>293</v>
      </c>
    </row>
    <row r="55" spans="1:13" x14ac:dyDescent="0.25">
      <c r="A55" s="59">
        <v>53</v>
      </c>
      <c r="B55" s="60" t="s">
        <v>257</v>
      </c>
      <c r="C55" s="60">
        <v>1053</v>
      </c>
      <c r="D55" s="60" t="s">
        <v>269</v>
      </c>
      <c r="E55" s="61">
        <f>IF(SalesRecord!$D55=" "," ",VLOOKUP(SalesRecord!$D55,W_sheet_Sales_record!$C$3:$D$13,2,FALSE))</f>
        <v>300</v>
      </c>
      <c r="F55" s="61">
        <v>450</v>
      </c>
      <c r="G55" s="61">
        <f>SalesRecord!$F55-SalesRecord!$E55</f>
        <v>150</v>
      </c>
      <c r="H55" s="60">
        <v>3</v>
      </c>
      <c r="I55" s="61">
        <f>SalesRecord!$F55*SalesRecord!$H55</f>
        <v>1350</v>
      </c>
      <c r="J55" s="61">
        <f>SalesRecord!$G55*SalesRecord!$H55</f>
        <v>450</v>
      </c>
      <c r="K55" s="61" cm="1">
        <f t="array" ref="K55">_xlfn.IFS(SalesRecord!$G55&gt;120,0.5*SalesRecord!$G55,SalesRecord!$G55&lt;120,0.25*SalesRecord!$G55)</f>
        <v>75</v>
      </c>
      <c r="L55" s="61" t="s">
        <v>279</v>
      </c>
      <c r="M55" s="61" t="s">
        <v>296</v>
      </c>
    </row>
    <row r="56" spans="1:13" x14ac:dyDescent="0.25">
      <c r="A56" s="56">
        <v>54</v>
      </c>
      <c r="B56" s="57" t="s">
        <v>257</v>
      </c>
      <c r="C56" s="57">
        <v>1054</v>
      </c>
      <c r="D56" s="57" t="s">
        <v>272</v>
      </c>
      <c r="E56" s="58">
        <f>IF(SalesRecord!$D56=" "," ",VLOOKUP(SalesRecord!$D56,W_sheet_Sales_record!$C$3:$D$13,2,FALSE))</f>
        <v>450</v>
      </c>
      <c r="F56" s="58">
        <v>600</v>
      </c>
      <c r="G56" s="58">
        <f>SalesRecord!$F56-SalesRecord!$E56</f>
        <v>150</v>
      </c>
      <c r="H56" s="57">
        <v>30</v>
      </c>
      <c r="I56" s="58">
        <f>SalesRecord!$F56*SalesRecord!$H56</f>
        <v>18000</v>
      </c>
      <c r="J56" s="58">
        <f>SalesRecord!$G56*SalesRecord!$H56</f>
        <v>4500</v>
      </c>
      <c r="K56" s="58" cm="1">
        <f t="array" ref="K56">_xlfn.IFS(SalesRecord!$G56&gt;120,0.5*SalesRecord!$G56,SalesRecord!$G56&lt;120,0.25*SalesRecord!$G56)</f>
        <v>75</v>
      </c>
      <c r="L56" s="58" t="s">
        <v>279</v>
      </c>
      <c r="M56" s="58" t="s">
        <v>299</v>
      </c>
    </row>
    <row r="57" spans="1:13" x14ac:dyDescent="0.25">
      <c r="A57" s="59">
        <v>55</v>
      </c>
      <c r="B57" s="60" t="s">
        <v>257</v>
      </c>
      <c r="C57" s="60">
        <v>1055</v>
      </c>
      <c r="D57" s="60" t="s">
        <v>268</v>
      </c>
      <c r="E57" s="61">
        <f>IF(SalesRecord!$D57=" "," ",VLOOKUP(SalesRecord!$D57,W_sheet_Sales_record!$C$3:$D$13,2,FALSE))</f>
        <v>250</v>
      </c>
      <c r="F57" s="61">
        <v>450</v>
      </c>
      <c r="G57" s="61">
        <f>SalesRecord!$F57-SalesRecord!$E57</f>
        <v>200</v>
      </c>
      <c r="H57" s="60">
        <v>23</v>
      </c>
      <c r="I57" s="61">
        <f>SalesRecord!$F57*SalesRecord!$H57</f>
        <v>10350</v>
      </c>
      <c r="J57" s="61">
        <f>SalesRecord!$G57*SalesRecord!$H57</f>
        <v>4600</v>
      </c>
      <c r="K57" s="61" cm="1">
        <f t="array" ref="K57">_xlfn.IFS(SalesRecord!$G57&gt;120,0.5*SalesRecord!$G57,SalesRecord!$G57&lt;120,0.25*SalesRecord!$G57)</f>
        <v>100</v>
      </c>
      <c r="L57" s="61" t="s">
        <v>280</v>
      </c>
      <c r="M57" s="61" t="s">
        <v>283</v>
      </c>
    </row>
    <row r="58" spans="1:13" x14ac:dyDescent="0.25">
      <c r="A58" s="56">
        <v>56</v>
      </c>
      <c r="B58" s="57" t="s">
        <v>257</v>
      </c>
      <c r="C58" s="57">
        <v>1056</v>
      </c>
      <c r="D58" s="57" t="s">
        <v>270</v>
      </c>
      <c r="E58" s="58">
        <f>IF(SalesRecord!$D58=" "," ",VLOOKUP(SalesRecord!$D58,W_sheet_Sales_record!$C$3:$D$13,2,FALSE))</f>
        <v>350</v>
      </c>
      <c r="F58" s="58">
        <v>450</v>
      </c>
      <c r="G58" s="58">
        <f>SalesRecord!$F58-SalesRecord!$E58</f>
        <v>100</v>
      </c>
      <c r="H58" s="57">
        <v>6</v>
      </c>
      <c r="I58" s="58">
        <f>SalesRecord!$F58*SalesRecord!$H58</f>
        <v>2700</v>
      </c>
      <c r="J58" s="58">
        <f>SalesRecord!$G58*SalesRecord!$H58</f>
        <v>600</v>
      </c>
      <c r="K58" s="58" cm="1">
        <f t="array" ref="K58">_xlfn.IFS(SalesRecord!$G58&gt;120,0.5*SalesRecord!$G58,SalesRecord!$G58&lt;120,0.25*SalesRecord!$G58)</f>
        <v>25</v>
      </c>
      <c r="L58" s="58" t="s">
        <v>280</v>
      </c>
      <c r="M58" s="58" t="s">
        <v>286</v>
      </c>
    </row>
    <row r="59" spans="1:13" x14ac:dyDescent="0.25">
      <c r="A59" s="59">
        <v>57</v>
      </c>
      <c r="B59" s="60" t="s">
        <v>257</v>
      </c>
      <c r="C59" s="60">
        <v>1057</v>
      </c>
      <c r="D59" s="60" t="s">
        <v>273</v>
      </c>
      <c r="E59" s="61">
        <f>IF(SalesRecord!$D59=" "," ",VLOOKUP(SalesRecord!$D59,W_sheet_Sales_record!$C$3:$D$13,2,FALSE))</f>
        <v>400</v>
      </c>
      <c r="F59" s="61">
        <v>500</v>
      </c>
      <c r="G59" s="61">
        <f>SalesRecord!$F59-SalesRecord!$E59</f>
        <v>100</v>
      </c>
      <c r="H59" s="60">
        <v>8</v>
      </c>
      <c r="I59" s="61">
        <f>SalesRecord!$F59*SalesRecord!$H59</f>
        <v>4000</v>
      </c>
      <c r="J59" s="61">
        <f>SalesRecord!$G59*SalesRecord!$H59</f>
        <v>800</v>
      </c>
      <c r="K59" s="61" cm="1">
        <f t="array" ref="K59">_xlfn.IFS(SalesRecord!$G59&gt;120,0.5*SalesRecord!$G59,SalesRecord!$G59&lt;120,0.25*SalesRecord!$G59)</f>
        <v>25</v>
      </c>
      <c r="L59" s="61" t="s">
        <v>280</v>
      </c>
      <c r="M59" s="61" t="s">
        <v>291</v>
      </c>
    </row>
    <row r="60" spans="1:13" x14ac:dyDescent="0.25">
      <c r="A60" s="56">
        <v>58</v>
      </c>
      <c r="B60" s="57" t="s">
        <v>257</v>
      </c>
      <c r="C60" s="57">
        <v>1058</v>
      </c>
      <c r="D60" s="57" t="s">
        <v>274</v>
      </c>
      <c r="E60" s="58">
        <f>IF(SalesRecord!$D60=" "," ",VLOOKUP(SalesRecord!$D60,W_sheet_Sales_record!$C$3:$D$13,2,FALSE))</f>
        <v>200</v>
      </c>
      <c r="F60" s="58">
        <v>300</v>
      </c>
      <c r="G60" s="58">
        <f>SalesRecord!$F60-SalesRecord!$E60</f>
        <v>100</v>
      </c>
      <c r="H60" s="57">
        <v>20</v>
      </c>
      <c r="I60" s="58">
        <f>SalesRecord!$F60*SalesRecord!$H60</f>
        <v>6000</v>
      </c>
      <c r="J60" s="58">
        <f>SalesRecord!$G60*SalesRecord!$H60</f>
        <v>2000</v>
      </c>
      <c r="K60" s="58" cm="1">
        <f t="array" ref="K60">_xlfn.IFS(SalesRecord!$G60&gt;120,0.5*SalesRecord!$G60,SalesRecord!$G60&lt;120,0.25*SalesRecord!$G60)</f>
        <v>25</v>
      </c>
      <c r="L60" s="58" t="s">
        <v>280</v>
      </c>
      <c r="M60" s="58" t="s">
        <v>294</v>
      </c>
    </row>
    <row r="61" spans="1:13" x14ac:dyDescent="0.25">
      <c r="A61" s="59">
        <v>59</v>
      </c>
      <c r="B61" s="60" t="s">
        <v>257</v>
      </c>
      <c r="C61" s="60">
        <v>1059</v>
      </c>
      <c r="D61" s="60" t="s">
        <v>242</v>
      </c>
      <c r="E61" s="61">
        <f>IF(SalesRecord!$D61=" "," ",VLOOKUP(SalesRecord!$D61,W_sheet_Sales_record!$C$3:$D$13,2,FALSE))</f>
        <v>500</v>
      </c>
      <c r="F61" s="61">
        <v>600</v>
      </c>
      <c r="G61" s="61">
        <f>SalesRecord!$F61-SalesRecord!$E61</f>
        <v>100</v>
      </c>
      <c r="H61" s="60">
        <v>6</v>
      </c>
      <c r="I61" s="61">
        <f>SalesRecord!$F61*SalesRecord!$H61</f>
        <v>3600</v>
      </c>
      <c r="J61" s="61">
        <f>SalesRecord!$G61*SalesRecord!$H61</f>
        <v>600</v>
      </c>
      <c r="K61" s="61" cm="1">
        <f t="array" ref="K61">_xlfn.IFS(SalesRecord!$G61&gt;120,0.5*SalesRecord!$G61,SalesRecord!$G61&lt;120,0.25*SalesRecord!$G61)</f>
        <v>25</v>
      </c>
      <c r="L61" s="61" t="s">
        <v>280</v>
      </c>
      <c r="M61" s="61" t="s">
        <v>297</v>
      </c>
    </row>
    <row r="62" spans="1:13" x14ac:dyDescent="0.25">
      <c r="A62" s="56">
        <v>60</v>
      </c>
      <c r="B62" s="57" t="s">
        <v>257</v>
      </c>
      <c r="C62" s="57">
        <v>1060</v>
      </c>
      <c r="D62" s="57" t="s">
        <v>267</v>
      </c>
      <c r="E62" s="58">
        <f>IF(SalesRecord!$D62=" "," ",VLOOKUP(SalesRecord!$D62,W_sheet_Sales_record!$C$3:$D$13,2,FALSE))</f>
        <v>450</v>
      </c>
      <c r="F62" s="58">
        <v>550</v>
      </c>
      <c r="G62" s="58">
        <f>SalesRecord!$F62-SalesRecord!$E62</f>
        <v>100</v>
      </c>
      <c r="H62" s="57">
        <v>9</v>
      </c>
      <c r="I62" s="58">
        <f>SalesRecord!$F62*SalesRecord!$H62</f>
        <v>4950</v>
      </c>
      <c r="J62" s="58">
        <f>SalesRecord!$G62*SalesRecord!$H62</f>
        <v>900</v>
      </c>
      <c r="K62" s="58" cm="1">
        <f t="array" ref="K62">_xlfn.IFS(SalesRecord!$G62&gt;120,0.5*SalesRecord!$G62,SalesRecord!$G62&lt;120,0.25*SalesRecord!$G62)</f>
        <v>25</v>
      </c>
      <c r="L62" s="58" t="s">
        <v>280</v>
      </c>
      <c r="M62" s="58" t="s">
        <v>300</v>
      </c>
    </row>
    <row r="63" spans="1:13" x14ac:dyDescent="0.25">
      <c r="A63" s="59">
        <v>61</v>
      </c>
      <c r="B63" s="60" t="s">
        <v>257</v>
      </c>
      <c r="C63" s="60">
        <v>1061</v>
      </c>
      <c r="D63" s="60" t="s">
        <v>271</v>
      </c>
      <c r="E63" s="61">
        <f>IF(SalesRecord!$D63=" "," ",VLOOKUP(SalesRecord!$D63,W_sheet_Sales_record!$C$3:$D$13,2,FALSE))</f>
        <v>250</v>
      </c>
      <c r="F63" s="61">
        <v>350</v>
      </c>
      <c r="G63" s="61">
        <f>SalesRecord!$F63-SalesRecord!$E63</f>
        <v>100</v>
      </c>
      <c r="H63" s="60">
        <v>4</v>
      </c>
      <c r="I63" s="61">
        <f>SalesRecord!$F63*SalesRecord!$H63</f>
        <v>1400</v>
      </c>
      <c r="J63" s="61">
        <f>SalesRecord!$G63*SalesRecord!$H63</f>
        <v>400</v>
      </c>
      <c r="K63" s="61" cm="1">
        <f t="array" ref="K63">_xlfn.IFS(SalesRecord!$G63&gt;120,0.5*SalesRecord!$G63,SalesRecord!$G63&lt;120,0.25*SalesRecord!$G63)</f>
        <v>25</v>
      </c>
      <c r="L63" s="61" t="s">
        <v>278</v>
      </c>
      <c r="M63" s="61" t="s">
        <v>281</v>
      </c>
    </row>
    <row r="64" spans="1:13" x14ac:dyDescent="0.25">
      <c r="A64" s="56">
        <v>62</v>
      </c>
      <c r="B64" s="57" t="s">
        <v>257</v>
      </c>
      <c r="C64" s="57">
        <v>1062</v>
      </c>
      <c r="D64" s="57" t="s">
        <v>275</v>
      </c>
      <c r="E64" s="58">
        <f>IF(SalesRecord!$D64=" "," ",VLOOKUP(SalesRecord!$D64,W_sheet_Sales_record!$C$3:$D$13,2,FALSE))</f>
        <v>400</v>
      </c>
      <c r="F64" s="58">
        <v>550</v>
      </c>
      <c r="G64" s="58">
        <f>SalesRecord!$F64-SalesRecord!$E64</f>
        <v>150</v>
      </c>
      <c r="H64" s="57">
        <v>5</v>
      </c>
      <c r="I64" s="58">
        <f>SalesRecord!$F64*SalesRecord!$H64</f>
        <v>2750</v>
      </c>
      <c r="J64" s="58">
        <f>SalesRecord!$G64*SalesRecord!$H64</f>
        <v>750</v>
      </c>
      <c r="K64" s="58" cm="1">
        <f t="array" ref="K64">_xlfn.IFS(SalesRecord!$G64&gt;120,0.5*SalesRecord!$G64,SalesRecord!$G64&lt;120,0.25*SalesRecord!$G64)</f>
        <v>75</v>
      </c>
      <c r="L64" s="58" t="s">
        <v>278</v>
      </c>
      <c r="M64" s="58" t="s">
        <v>284</v>
      </c>
    </row>
    <row r="65" spans="1:13" x14ac:dyDescent="0.25">
      <c r="A65" s="59">
        <v>63</v>
      </c>
      <c r="B65" s="60" t="s">
        <v>257</v>
      </c>
      <c r="C65" s="60">
        <v>1063</v>
      </c>
      <c r="D65" s="60" t="s">
        <v>269</v>
      </c>
      <c r="E65" s="61">
        <f>IF(SalesRecord!$D65=" "," ",VLOOKUP(SalesRecord!$D65,W_sheet_Sales_record!$C$3:$D$13,2,FALSE))</f>
        <v>300</v>
      </c>
      <c r="F65" s="61">
        <v>400</v>
      </c>
      <c r="G65" s="61">
        <f>SalesRecord!$F65-SalesRecord!$E65</f>
        <v>100</v>
      </c>
      <c r="H65" s="60">
        <v>24</v>
      </c>
      <c r="I65" s="61">
        <f>SalesRecord!$F65*SalesRecord!$H65</f>
        <v>9600</v>
      </c>
      <c r="J65" s="61">
        <f>SalesRecord!$G65*SalesRecord!$H65</f>
        <v>2400</v>
      </c>
      <c r="K65" s="61" cm="1">
        <f t="array" ref="K65">_xlfn.IFS(SalesRecord!$G65&gt;120,0.5*SalesRecord!$G65,SalesRecord!$G65&lt;120,0.25*SalesRecord!$G65)</f>
        <v>25</v>
      </c>
      <c r="L65" s="61" t="s">
        <v>278</v>
      </c>
      <c r="M65" s="61" t="s">
        <v>289</v>
      </c>
    </row>
    <row r="66" spans="1:13" x14ac:dyDescent="0.25">
      <c r="A66" s="56">
        <v>64</v>
      </c>
      <c r="B66" s="57" t="s">
        <v>257</v>
      </c>
      <c r="C66" s="57">
        <v>1064</v>
      </c>
      <c r="D66" s="57" t="s">
        <v>272</v>
      </c>
      <c r="E66" s="58">
        <f>IF(SalesRecord!$D66=" "," ",VLOOKUP(SalesRecord!$D66,W_sheet_Sales_record!$C$3:$D$13,2,FALSE))</f>
        <v>450</v>
      </c>
      <c r="F66" s="58">
        <v>550</v>
      </c>
      <c r="G66" s="58">
        <f>SalesRecord!$F66-SalesRecord!$E66</f>
        <v>100</v>
      </c>
      <c r="H66" s="57">
        <v>20</v>
      </c>
      <c r="I66" s="58">
        <f>SalesRecord!$F66*SalesRecord!$H66</f>
        <v>11000</v>
      </c>
      <c r="J66" s="58">
        <f>SalesRecord!$G66*SalesRecord!$H66</f>
        <v>2000</v>
      </c>
      <c r="K66" s="58" cm="1">
        <f t="array" ref="K66">_xlfn.IFS(SalesRecord!$G66&gt;120,0.5*SalesRecord!$G66,SalesRecord!$G66&lt;120,0.25*SalesRecord!$G66)</f>
        <v>25</v>
      </c>
      <c r="L66" s="58" t="s">
        <v>278</v>
      </c>
      <c r="M66" s="58" t="s">
        <v>292</v>
      </c>
    </row>
    <row r="67" spans="1:13" x14ac:dyDescent="0.25">
      <c r="A67" s="59">
        <v>65</v>
      </c>
      <c r="B67" s="60" t="s">
        <v>257</v>
      </c>
      <c r="C67" s="60">
        <v>1065</v>
      </c>
      <c r="D67" s="60" t="s">
        <v>268</v>
      </c>
      <c r="E67" s="61">
        <f>IF(SalesRecord!$D67=" "," ",VLOOKUP(SalesRecord!$D67,W_sheet_Sales_record!$C$3:$D$13,2,FALSE))</f>
        <v>250</v>
      </c>
      <c r="F67" s="61">
        <v>450</v>
      </c>
      <c r="G67" s="61">
        <f>SalesRecord!$F67-SalesRecord!$E67</f>
        <v>200</v>
      </c>
      <c r="H67" s="60">
        <v>12</v>
      </c>
      <c r="I67" s="61">
        <f>SalesRecord!$F67*SalesRecord!$H67</f>
        <v>5400</v>
      </c>
      <c r="J67" s="61">
        <f>SalesRecord!$G67*SalesRecord!$H67</f>
        <v>2400</v>
      </c>
      <c r="K67" s="61" cm="1">
        <f t="array" ref="K67">_xlfn.IFS(SalesRecord!$G67&gt;120,0.5*SalesRecord!$G67,SalesRecord!$G67&lt;120,0.25*SalesRecord!$G67)</f>
        <v>100</v>
      </c>
      <c r="L67" s="61" t="s">
        <v>278</v>
      </c>
      <c r="M67" s="61" t="s">
        <v>295</v>
      </c>
    </row>
    <row r="68" spans="1:13" x14ac:dyDescent="0.25">
      <c r="A68" s="56">
        <v>66</v>
      </c>
      <c r="B68" s="57" t="s">
        <v>258</v>
      </c>
      <c r="C68" s="57">
        <v>1066</v>
      </c>
      <c r="D68" s="57" t="s">
        <v>270</v>
      </c>
      <c r="E68" s="58">
        <f>IF(SalesRecord!$D68=" "," ",VLOOKUP(SalesRecord!$D68,W_sheet_Sales_record!$C$3:$D$13,2,FALSE))</f>
        <v>350</v>
      </c>
      <c r="F68" s="58">
        <v>450</v>
      </c>
      <c r="G68" s="58">
        <f>SalesRecord!$F68-SalesRecord!$E68</f>
        <v>100</v>
      </c>
      <c r="H68" s="57">
        <v>13</v>
      </c>
      <c r="I68" s="58">
        <f>SalesRecord!$F68*SalesRecord!$H68</f>
        <v>5850</v>
      </c>
      <c r="J68" s="58">
        <f>SalesRecord!$G68*SalesRecord!$H68</f>
        <v>1300</v>
      </c>
      <c r="K68" s="58" cm="1">
        <f t="array" ref="K68">_xlfn.IFS(SalesRecord!$G68&gt;120,0.5*SalesRecord!$G68,SalesRecord!$G68&lt;120,0.25*SalesRecord!$G68)</f>
        <v>25</v>
      </c>
      <c r="L68" s="58" t="s">
        <v>278</v>
      </c>
      <c r="M68" s="58" t="s">
        <v>298</v>
      </c>
    </row>
    <row r="69" spans="1:13" x14ac:dyDescent="0.25">
      <c r="A69" s="59">
        <v>67</v>
      </c>
      <c r="B69" s="60" t="s">
        <v>258</v>
      </c>
      <c r="C69" s="60">
        <v>1067</v>
      </c>
      <c r="D69" s="60" t="s">
        <v>273</v>
      </c>
      <c r="E69" s="61">
        <f>IF(SalesRecord!$D69=" "," ",VLOOKUP(SalesRecord!$D69,W_sheet_Sales_record!$C$3:$D$13,2,FALSE))</f>
        <v>400</v>
      </c>
      <c r="F69" s="61">
        <v>500</v>
      </c>
      <c r="G69" s="61">
        <f>SalesRecord!$F69-SalesRecord!$E69</f>
        <v>100</v>
      </c>
      <c r="H69" s="60">
        <v>16</v>
      </c>
      <c r="I69" s="61">
        <f>SalesRecord!$F69*SalesRecord!$H69</f>
        <v>8000</v>
      </c>
      <c r="J69" s="61">
        <f>SalesRecord!$G69*SalesRecord!$H69</f>
        <v>1600</v>
      </c>
      <c r="K69" s="61" cm="1">
        <f t="array" ref="K69">_xlfn.IFS(SalesRecord!$G69&gt;120,0.5*SalesRecord!$G69,SalesRecord!$G69&lt;120,0.25*SalesRecord!$G69)</f>
        <v>25</v>
      </c>
      <c r="L69" s="61" t="s">
        <v>279</v>
      </c>
      <c r="M69" s="61" t="s">
        <v>282</v>
      </c>
    </row>
    <row r="70" spans="1:13" x14ac:dyDescent="0.25">
      <c r="A70" s="56">
        <v>68</v>
      </c>
      <c r="B70" s="57" t="s">
        <v>258</v>
      </c>
      <c r="C70" s="57">
        <v>1068</v>
      </c>
      <c r="D70" s="57" t="s">
        <v>274</v>
      </c>
      <c r="E70" s="58">
        <f>IF(SalesRecord!$D70=" "," ",VLOOKUP(SalesRecord!$D70,W_sheet_Sales_record!$C$3:$D$13,2,FALSE))</f>
        <v>200</v>
      </c>
      <c r="F70" s="58">
        <v>400</v>
      </c>
      <c r="G70" s="58">
        <f>SalesRecord!$F70-SalesRecord!$E70</f>
        <v>200</v>
      </c>
      <c r="H70" s="57">
        <v>19</v>
      </c>
      <c r="I70" s="58">
        <f>SalesRecord!$F70*SalesRecord!$H70</f>
        <v>7600</v>
      </c>
      <c r="J70" s="58">
        <f>SalesRecord!$G70*SalesRecord!$H70</f>
        <v>3800</v>
      </c>
      <c r="K70" s="58" cm="1">
        <f t="array" ref="K70">_xlfn.IFS(SalesRecord!$G70&gt;120,0.5*SalesRecord!$G70,SalesRecord!$G70&lt;120,0.25*SalesRecord!$G70)</f>
        <v>100</v>
      </c>
      <c r="L70" s="58" t="s">
        <v>279</v>
      </c>
      <c r="M70" s="58" t="s">
        <v>285</v>
      </c>
    </row>
    <row r="71" spans="1:13" x14ac:dyDescent="0.25">
      <c r="A71" s="59">
        <v>69</v>
      </c>
      <c r="B71" s="60" t="s">
        <v>258</v>
      </c>
      <c r="C71" s="60">
        <v>1069</v>
      </c>
      <c r="D71" s="60" t="s">
        <v>242</v>
      </c>
      <c r="E71" s="61">
        <f>IF(SalesRecord!$D71=" "," ",VLOOKUP(SalesRecord!$D71,W_sheet_Sales_record!$C$3:$D$13,2,FALSE))</f>
        <v>500</v>
      </c>
      <c r="F71" s="61">
        <v>600</v>
      </c>
      <c r="G71" s="61">
        <f>SalesRecord!$F71-SalesRecord!$E71</f>
        <v>100</v>
      </c>
      <c r="H71" s="60">
        <v>5</v>
      </c>
      <c r="I71" s="61">
        <f>SalesRecord!$F71*SalesRecord!$H71</f>
        <v>3000</v>
      </c>
      <c r="J71" s="61">
        <f>SalesRecord!$G71*SalesRecord!$H71</f>
        <v>500</v>
      </c>
      <c r="K71" s="61" cm="1">
        <f t="array" ref="K71">_xlfn.IFS(SalesRecord!$G71&gt;120,0.5*SalesRecord!$G71,SalesRecord!$G71&lt;120,0.25*SalesRecord!$G71)</f>
        <v>25</v>
      </c>
      <c r="L71" s="61" t="s">
        <v>279</v>
      </c>
      <c r="M71" s="61" t="s">
        <v>290</v>
      </c>
    </row>
    <row r="72" spans="1:13" x14ac:dyDescent="0.25">
      <c r="A72" s="56">
        <v>70</v>
      </c>
      <c r="B72" s="57" t="s">
        <v>258</v>
      </c>
      <c r="C72" s="57">
        <v>1070</v>
      </c>
      <c r="D72" s="57" t="s">
        <v>267</v>
      </c>
      <c r="E72" s="58">
        <f>IF(SalesRecord!$D72=" "," ",VLOOKUP(SalesRecord!$D72,W_sheet_Sales_record!$C$3:$D$13,2,FALSE))</f>
        <v>450</v>
      </c>
      <c r="F72" s="58">
        <v>650</v>
      </c>
      <c r="G72" s="58">
        <f>SalesRecord!$F72-SalesRecord!$E72</f>
        <v>200</v>
      </c>
      <c r="H72" s="57">
        <v>17</v>
      </c>
      <c r="I72" s="58">
        <f>SalesRecord!$F72*SalesRecord!$H72</f>
        <v>11050</v>
      </c>
      <c r="J72" s="58">
        <f>SalesRecord!$G72*SalesRecord!$H72</f>
        <v>3400</v>
      </c>
      <c r="K72" s="58" cm="1">
        <f t="array" ref="K72">_xlfn.IFS(SalesRecord!$G72&gt;120,0.5*SalesRecord!$G72,SalesRecord!$G72&lt;120,0.25*SalesRecord!$G72)</f>
        <v>100</v>
      </c>
      <c r="L72" s="58" t="s">
        <v>279</v>
      </c>
      <c r="M72" s="58" t="s">
        <v>293</v>
      </c>
    </row>
    <row r="73" spans="1:13" x14ac:dyDescent="0.25">
      <c r="A73" s="59">
        <v>71</v>
      </c>
      <c r="B73" s="60" t="s">
        <v>258</v>
      </c>
      <c r="C73" s="60">
        <v>1071</v>
      </c>
      <c r="D73" s="60" t="s">
        <v>271</v>
      </c>
      <c r="E73" s="61">
        <f>IF(SalesRecord!$D73=" "," ",VLOOKUP(SalesRecord!$D73,W_sheet_Sales_record!$C$3:$D$13,2,FALSE))</f>
        <v>250</v>
      </c>
      <c r="F73" s="61">
        <v>450</v>
      </c>
      <c r="G73" s="61">
        <f>SalesRecord!$F73-SalesRecord!$E73</f>
        <v>200</v>
      </c>
      <c r="H73" s="60">
        <v>4</v>
      </c>
      <c r="I73" s="61">
        <f>SalesRecord!$F73*SalesRecord!$H73</f>
        <v>1800</v>
      </c>
      <c r="J73" s="61">
        <f>SalesRecord!$G73*SalesRecord!$H73</f>
        <v>800</v>
      </c>
      <c r="K73" s="61" cm="1">
        <f t="array" ref="K73">_xlfn.IFS(SalesRecord!$G73&gt;120,0.5*SalesRecord!$G73,SalesRecord!$G73&lt;120,0.25*SalesRecord!$G73)</f>
        <v>100</v>
      </c>
      <c r="L73" s="61" t="s">
        <v>279</v>
      </c>
      <c r="M73" s="61" t="s">
        <v>296</v>
      </c>
    </row>
    <row r="74" spans="1:13" x14ac:dyDescent="0.25">
      <c r="A74" s="56">
        <v>72</v>
      </c>
      <c r="B74" s="57" t="s">
        <v>258</v>
      </c>
      <c r="C74" s="57">
        <v>1072</v>
      </c>
      <c r="D74" s="57" t="s">
        <v>275</v>
      </c>
      <c r="E74" s="58">
        <f>IF(SalesRecord!$D74=" "," ",VLOOKUP(SalesRecord!$D74,W_sheet_Sales_record!$C$3:$D$13,2,FALSE))</f>
        <v>400</v>
      </c>
      <c r="F74" s="58">
        <v>550</v>
      </c>
      <c r="G74" s="58">
        <f>SalesRecord!$F74-SalesRecord!$E74</f>
        <v>150</v>
      </c>
      <c r="H74" s="57">
        <v>6</v>
      </c>
      <c r="I74" s="58">
        <f>SalesRecord!$F74*SalesRecord!$H74</f>
        <v>3300</v>
      </c>
      <c r="J74" s="58">
        <f>SalesRecord!$G74*SalesRecord!$H74</f>
        <v>900</v>
      </c>
      <c r="K74" s="58" cm="1">
        <f t="array" ref="K74">_xlfn.IFS(SalesRecord!$G74&gt;120,0.5*SalesRecord!$G74,SalesRecord!$G74&lt;120,0.25*SalesRecord!$G74)</f>
        <v>75</v>
      </c>
      <c r="L74" s="58" t="s">
        <v>279</v>
      </c>
      <c r="M74" s="58" t="s">
        <v>299</v>
      </c>
    </row>
    <row r="75" spans="1:13" x14ac:dyDescent="0.25">
      <c r="A75" s="59">
        <v>73</v>
      </c>
      <c r="B75" s="60" t="s">
        <v>258</v>
      </c>
      <c r="C75" s="60">
        <v>1073</v>
      </c>
      <c r="D75" s="60" t="s">
        <v>269</v>
      </c>
      <c r="E75" s="61">
        <f>IF(SalesRecord!$D75=" "," ",VLOOKUP(SalesRecord!$D75,W_sheet_Sales_record!$C$3:$D$13,2,FALSE))</f>
        <v>300</v>
      </c>
      <c r="F75" s="61">
        <v>450</v>
      </c>
      <c r="G75" s="61">
        <f>SalesRecord!$F75-SalesRecord!$E75</f>
        <v>150</v>
      </c>
      <c r="H75" s="60">
        <v>7</v>
      </c>
      <c r="I75" s="61">
        <f>SalesRecord!$F75*SalesRecord!$H75</f>
        <v>3150</v>
      </c>
      <c r="J75" s="61">
        <f>SalesRecord!$G75*SalesRecord!$H75</f>
        <v>1050</v>
      </c>
      <c r="K75" s="61" cm="1">
        <f t="array" ref="K75">_xlfn.IFS(SalesRecord!$G75&gt;120,0.5*SalesRecord!$G75,SalesRecord!$G75&lt;120,0.25*SalesRecord!$G75)</f>
        <v>75</v>
      </c>
      <c r="L75" s="61" t="s">
        <v>280</v>
      </c>
      <c r="M75" s="61" t="s">
        <v>283</v>
      </c>
    </row>
    <row r="76" spans="1:13" x14ac:dyDescent="0.25">
      <c r="A76" s="56">
        <v>74</v>
      </c>
      <c r="B76" s="57" t="s">
        <v>258</v>
      </c>
      <c r="C76" s="57">
        <v>1074</v>
      </c>
      <c r="D76" s="57" t="s">
        <v>272</v>
      </c>
      <c r="E76" s="58">
        <f>IF(SalesRecord!$D76=" "," ",VLOOKUP(SalesRecord!$D76,W_sheet_Sales_record!$C$3:$D$13,2,FALSE))</f>
        <v>450</v>
      </c>
      <c r="F76" s="58">
        <v>550</v>
      </c>
      <c r="G76" s="58">
        <f>SalesRecord!$F76-SalesRecord!$E76</f>
        <v>100</v>
      </c>
      <c r="H76" s="57">
        <v>9</v>
      </c>
      <c r="I76" s="58">
        <f>SalesRecord!$F76*SalesRecord!$H76</f>
        <v>4950</v>
      </c>
      <c r="J76" s="58">
        <f>SalesRecord!$G76*SalesRecord!$H76</f>
        <v>900</v>
      </c>
      <c r="K76" s="58" cm="1">
        <f t="array" ref="K76">_xlfn.IFS(SalesRecord!$G76&gt;120,0.5*SalesRecord!$G76,SalesRecord!$G76&lt;120,0.25*SalesRecord!$G76)</f>
        <v>25</v>
      </c>
      <c r="L76" s="58" t="s">
        <v>280</v>
      </c>
      <c r="M76" s="58" t="s">
        <v>286</v>
      </c>
    </row>
    <row r="77" spans="1:13" x14ac:dyDescent="0.25">
      <c r="A77" s="59">
        <v>75</v>
      </c>
      <c r="B77" s="60" t="s">
        <v>258</v>
      </c>
      <c r="C77" s="60">
        <v>1075</v>
      </c>
      <c r="D77" s="60" t="s">
        <v>268</v>
      </c>
      <c r="E77" s="61">
        <f>IF(SalesRecord!$D77=" "," ",VLOOKUP(SalesRecord!$D77,W_sheet_Sales_record!$C$3:$D$13,2,FALSE))</f>
        <v>250</v>
      </c>
      <c r="F77" s="61">
        <v>400</v>
      </c>
      <c r="G77" s="61">
        <f>SalesRecord!$F77-SalesRecord!$E77</f>
        <v>150</v>
      </c>
      <c r="H77" s="60">
        <v>11</v>
      </c>
      <c r="I77" s="61">
        <f>SalesRecord!$F77*SalesRecord!$H77</f>
        <v>4400</v>
      </c>
      <c r="J77" s="61">
        <f>SalesRecord!$G77*SalesRecord!$H77</f>
        <v>1650</v>
      </c>
      <c r="K77" s="61" cm="1">
        <f t="array" ref="K77">_xlfn.IFS(SalesRecord!$G77&gt;120,0.5*SalesRecord!$G77,SalesRecord!$G77&lt;120,0.25*SalesRecord!$G77)</f>
        <v>75</v>
      </c>
      <c r="L77" s="61" t="s">
        <v>280</v>
      </c>
      <c r="M77" s="61" t="s">
        <v>291</v>
      </c>
    </row>
    <row r="78" spans="1:13" x14ac:dyDescent="0.25">
      <c r="A78" s="56">
        <v>76</v>
      </c>
      <c r="B78" s="57" t="s">
        <v>258</v>
      </c>
      <c r="C78" s="57">
        <v>1076</v>
      </c>
      <c r="D78" s="57" t="s">
        <v>270</v>
      </c>
      <c r="E78" s="58">
        <f>IF(SalesRecord!$D78=" "," ",VLOOKUP(SalesRecord!$D78,W_sheet_Sales_record!$C$3:$D$13,2,FALSE))</f>
        <v>350</v>
      </c>
      <c r="F78" s="58">
        <v>450</v>
      </c>
      <c r="G78" s="58">
        <f>SalesRecord!$F78-SalesRecord!$E78</f>
        <v>100</v>
      </c>
      <c r="H78" s="57">
        <v>20</v>
      </c>
      <c r="I78" s="58">
        <f>SalesRecord!$F78*SalesRecord!$H78</f>
        <v>9000</v>
      </c>
      <c r="J78" s="58">
        <f>SalesRecord!$G78*SalesRecord!$H78</f>
        <v>2000</v>
      </c>
      <c r="K78" s="58" cm="1">
        <f t="array" ref="K78">_xlfn.IFS(SalesRecord!$G78&gt;120,0.5*SalesRecord!$G78,SalesRecord!$G78&lt;120,0.25*SalesRecord!$G78)</f>
        <v>25</v>
      </c>
      <c r="L78" s="58" t="s">
        <v>280</v>
      </c>
      <c r="M78" s="58" t="s">
        <v>294</v>
      </c>
    </row>
    <row r="79" spans="1:13" x14ac:dyDescent="0.25">
      <c r="A79" s="59">
        <v>77</v>
      </c>
      <c r="B79" s="60" t="s">
        <v>258</v>
      </c>
      <c r="C79" s="60">
        <v>1077</v>
      </c>
      <c r="D79" s="60" t="s">
        <v>273</v>
      </c>
      <c r="E79" s="61">
        <f>IF(SalesRecord!$D79=" "," ",VLOOKUP(SalesRecord!$D79,W_sheet_Sales_record!$C$3:$D$13,2,FALSE))</f>
        <v>400</v>
      </c>
      <c r="F79" s="61">
        <v>500</v>
      </c>
      <c r="G79" s="61">
        <f>SalesRecord!$F79-SalesRecord!$E79</f>
        <v>100</v>
      </c>
      <c r="H79" s="60">
        <v>6</v>
      </c>
      <c r="I79" s="61">
        <f>SalesRecord!$F79*SalesRecord!$H79</f>
        <v>3000</v>
      </c>
      <c r="J79" s="61">
        <f>SalesRecord!$G79*SalesRecord!$H79</f>
        <v>600</v>
      </c>
      <c r="K79" s="61" cm="1">
        <f t="array" ref="K79">_xlfn.IFS(SalesRecord!$G79&gt;120,0.5*SalesRecord!$G79,SalesRecord!$G79&lt;120,0.25*SalesRecord!$G79)</f>
        <v>25</v>
      </c>
      <c r="L79" s="61" t="s">
        <v>280</v>
      </c>
      <c r="M79" s="61" t="s">
        <v>297</v>
      </c>
    </row>
    <row r="80" spans="1:13" x14ac:dyDescent="0.25">
      <c r="A80" s="56">
        <v>78</v>
      </c>
      <c r="B80" s="57" t="s">
        <v>258</v>
      </c>
      <c r="C80" s="57">
        <v>1078</v>
      </c>
      <c r="D80" s="57" t="s">
        <v>274</v>
      </c>
      <c r="E80" s="58">
        <f>IF(SalesRecord!$D80=" "," ",VLOOKUP(SalesRecord!$D80,W_sheet_Sales_record!$C$3:$D$13,2,FALSE))</f>
        <v>200</v>
      </c>
      <c r="F80" s="58">
        <v>300</v>
      </c>
      <c r="G80" s="58">
        <f>SalesRecord!$F80-SalesRecord!$E80</f>
        <v>100</v>
      </c>
      <c r="H80" s="57">
        <v>8</v>
      </c>
      <c r="I80" s="58">
        <f>SalesRecord!$F80*SalesRecord!$H80</f>
        <v>2400</v>
      </c>
      <c r="J80" s="58">
        <f>SalesRecord!$G80*SalesRecord!$H80</f>
        <v>800</v>
      </c>
      <c r="K80" s="58" cm="1">
        <f t="array" ref="K80">_xlfn.IFS(SalesRecord!$G80&gt;120,0.5*SalesRecord!$G80,SalesRecord!$G80&lt;120,0.25*SalesRecord!$G80)</f>
        <v>25</v>
      </c>
      <c r="L80" s="58" t="s">
        <v>280</v>
      </c>
      <c r="M80" s="58" t="s">
        <v>300</v>
      </c>
    </row>
    <row r="81" spans="1:13" x14ac:dyDescent="0.25">
      <c r="A81" s="59">
        <v>79</v>
      </c>
      <c r="B81" s="60" t="s">
        <v>259</v>
      </c>
      <c r="C81" s="60">
        <v>1079</v>
      </c>
      <c r="D81" s="60" t="s">
        <v>242</v>
      </c>
      <c r="E81" s="61">
        <f>IF(SalesRecord!$D81=" "," ",VLOOKUP(SalesRecord!$D81,W_sheet_Sales_record!$C$3:$D$13,2,FALSE))</f>
        <v>500</v>
      </c>
      <c r="F81" s="61">
        <v>600</v>
      </c>
      <c r="G81" s="61">
        <f>SalesRecord!$F81-SalesRecord!$E81</f>
        <v>100</v>
      </c>
      <c r="H81" s="60">
        <v>9</v>
      </c>
      <c r="I81" s="61">
        <f>SalesRecord!$F81*SalesRecord!$H81</f>
        <v>5400</v>
      </c>
      <c r="J81" s="61">
        <f>SalesRecord!$G81*SalesRecord!$H81</f>
        <v>900</v>
      </c>
      <c r="K81" s="61" cm="1">
        <f t="array" ref="K81">_xlfn.IFS(SalesRecord!$G81&gt;120,0.5*SalesRecord!$G81,SalesRecord!$G81&lt;120,0.25*SalesRecord!$G81)</f>
        <v>25</v>
      </c>
      <c r="L81" s="61" t="s">
        <v>278</v>
      </c>
      <c r="M81" s="61" t="s">
        <v>281</v>
      </c>
    </row>
    <row r="82" spans="1:13" x14ac:dyDescent="0.25">
      <c r="A82" s="56">
        <v>80</v>
      </c>
      <c r="B82" s="57" t="s">
        <v>259</v>
      </c>
      <c r="C82" s="57">
        <v>1080</v>
      </c>
      <c r="D82" s="57" t="s">
        <v>267</v>
      </c>
      <c r="E82" s="58">
        <f>IF(SalesRecord!$D82=" "," ",VLOOKUP(SalesRecord!$D82,W_sheet_Sales_record!$C$3:$D$13,2,FALSE))</f>
        <v>450</v>
      </c>
      <c r="F82" s="58">
        <v>600</v>
      </c>
      <c r="G82" s="58">
        <f>SalesRecord!$F82-SalesRecord!$E82</f>
        <v>150</v>
      </c>
      <c r="H82" s="57">
        <v>5</v>
      </c>
      <c r="I82" s="58">
        <f>SalesRecord!$F82*SalesRecord!$H82</f>
        <v>3000</v>
      </c>
      <c r="J82" s="58">
        <f>SalesRecord!$G82*SalesRecord!$H82</f>
        <v>750</v>
      </c>
      <c r="K82" s="58" cm="1">
        <f t="array" ref="K82">_xlfn.IFS(SalesRecord!$G82&gt;120,0.5*SalesRecord!$G82,SalesRecord!$G82&lt;120,0.25*SalesRecord!$G82)</f>
        <v>75</v>
      </c>
      <c r="L82" s="58" t="s">
        <v>278</v>
      </c>
      <c r="M82" s="58" t="s">
        <v>284</v>
      </c>
    </row>
    <row r="83" spans="1:13" x14ac:dyDescent="0.25">
      <c r="A83" s="59">
        <v>81</v>
      </c>
      <c r="B83" s="60" t="s">
        <v>259</v>
      </c>
      <c r="C83" s="60">
        <v>1081</v>
      </c>
      <c r="D83" s="60" t="s">
        <v>271</v>
      </c>
      <c r="E83" s="61">
        <f>IF(SalesRecord!$D83=" "," ",VLOOKUP(SalesRecord!$D83,W_sheet_Sales_record!$C$3:$D$13,2,FALSE))</f>
        <v>250</v>
      </c>
      <c r="F83" s="61">
        <v>450</v>
      </c>
      <c r="G83" s="61">
        <f>SalesRecord!$F83-SalesRecord!$E83</f>
        <v>200</v>
      </c>
      <c r="H83" s="60">
        <v>4</v>
      </c>
      <c r="I83" s="61">
        <f>SalesRecord!$F83*SalesRecord!$H83</f>
        <v>1800</v>
      </c>
      <c r="J83" s="61">
        <f>SalesRecord!$G83*SalesRecord!$H83</f>
        <v>800</v>
      </c>
      <c r="K83" s="61" cm="1">
        <f t="array" ref="K83">_xlfn.IFS(SalesRecord!$G83&gt;120,0.5*SalesRecord!$G83,SalesRecord!$G83&lt;120,0.25*SalesRecord!$G83)</f>
        <v>100</v>
      </c>
      <c r="L83" s="61" t="s">
        <v>278</v>
      </c>
      <c r="M83" s="61" t="s">
        <v>289</v>
      </c>
    </row>
    <row r="84" spans="1:13" x14ac:dyDescent="0.25">
      <c r="A84" s="56">
        <v>82</v>
      </c>
      <c r="B84" s="57" t="s">
        <v>259</v>
      </c>
      <c r="C84" s="57">
        <v>1082</v>
      </c>
      <c r="D84" s="57" t="s">
        <v>275</v>
      </c>
      <c r="E84" s="58">
        <f>IF(SalesRecord!$D84=" "," ",VLOOKUP(SalesRecord!$D84,W_sheet_Sales_record!$C$3:$D$13,2,FALSE))</f>
        <v>400</v>
      </c>
      <c r="F84" s="58">
        <v>600</v>
      </c>
      <c r="G84" s="58">
        <f>SalesRecord!$F84-SalesRecord!$E84</f>
        <v>200</v>
      </c>
      <c r="H84" s="57">
        <v>6</v>
      </c>
      <c r="I84" s="58">
        <f>SalesRecord!$F84*SalesRecord!$H84</f>
        <v>3600</v>
      </c>
      <c r="J84" s="58">
        <f>SalesRecord!$G84*SalesRecord!$H84</f>
        <v>1200</v>
      </c>
      <c r="K84" s="58" cm="1">
        <f t="array" ref="K84">_xlfn.IFS(SalesRecord!$G84&gt;120,0.5*SalesRecord!$G84,SalesRecord!$G84&lt;120,0.25*SalesRecord!$G84)</f>
        <v>100</v>
      </c>
      <c r="L84" s="58" t="s">
        <v>278</v>
      </c>
      <c r="M84" s="58" t="s">
        <v>292</v>
      </c>
    </row>
    <row r="85" spans="1:13" x14ac:dyDescent="0.25">
      <c r="A85" s="59">
        <v>83</v>
      </c>
      <c r="B85" s="60" t="s">
        <v>259</v>
      </c>
      <c r="C85" s="60">
        <v>1083</v>
      </c>
      <c r="D85" s="60" t="s">
        <v>269</v>
      </c>
      <c r="E85" s="61">
        <f>IF(SalesRecord!$D85=" "," ",VLOOKUP(SalesRecord!$D85,W_sheet_Sales_record!$C$3:$D$13,2,FALSE))</f>
        <v>300</v>
      </c>
      <c r="F85" s="61">
        <v>500</v>
      </c>
      <c r="G85" s="61">
        <f>SalesRecord!$F85-SalesRecord!$E85</f>
        <v>200</v>
      </c>
      <c r="H85" s="60">
        <v>3</v>
      </c>
      <c r="I85" s="61">
        <f>SalesRecord!$F85*SalesRecord!$H85</f>
        <v>1500</v>
      </c>
      <c r="J85" s="61">
        <f>SalesRecord!$G85*SalesRecord!$H85</f>
        <v>600</v>
      </c>
      <c r="K85" s="61" cm="1">
        <f t="array" ref="K85">_xlfn.IFS(SalesRecord!$G85&gt;120,0.5*SalesRecord!$G85,SalesRecord!$G85&lt;120,0.25*SalesRecord!$G85)</f>
        <v>100</v>
      </c>
      <c r="L85" s="61" t="s">
        <v>278</v>
      </c>
      <c r="M85" s="61" t="s">
        <v>295</v>
      </c>
    </row>
    <row r="86" spans="1:13" x14ac:dyDescent="0.25">
      <c r="A86" s="56">
        <v>84</v>
      </c>
      <c r="B86" s="57" t="s">
        <v>259</v>
      </c>
      <c r="C86" s="57">
        <v>1084</v>
      </c>
      <c r="D86" s="57" t="s">
        <v>272</v>
      </c>
      <c r="E86" s="58">
        <f>IF(SalesRecord!$D86=" "," ",VLOOKUP(SalesRecord!$D86,W_sheet_Sales_record!$C$3:$D$13,2,FALSE))</f>
        <v>450</v>
      </c>
      <c r="F86" s="58">
        <v>550</v>
      </c>
      <c r="G86" s="58">
        <f>SalesRecord!$F86-SalesRecord!$E86</f>
        <v>100</v>
      </c>
      <c r="H86" s="57">
        <v>12</v>
      </c>
      <c r="I86" s="58">
        <f>SalesRecord!$F86*SalesRecord!$H86</f>
        <v>6600</v>
      </c>
      <c r="J86" s="58">
        <f>SalesRecord!$G86*SalesRecord!$H86</f>
        <v>1200</v>
      </c>
      <c r="K86" s="58" cm="1">
        <f t="array" ref="K86">_xlfn.IFS(SalesRecord!$G86&gt;120,0.5*SalesRecord!$G86,SalesRecord!$G86&lt;120,0.25*SalesRecord!$G86)</f>
        <v>25</v>
      </c>
      <c r="L86" s="58" t="s">
        <v>278</v>
      </c>
      <c r="M86" s="58" t="s">
        <v>298</v>
      </c>
    </row>
    <row r="87" spans="1:13" x14ac:dyDescent="0.25">
      <c r="A87" s="59">
        <v>85</v>
      </c>
      <c r="B87" s="60" t="s">
        <v>259</v>
      </c>
      <c r="C87" s="60">
        <v>1085</v>
      </c>
      <c r="D87" s="60" t="s">
        <v>268</v>
      </c>
      <c r="E87" s="61">
        <f>IF(SalesRecord!$D87=" "," ",VLOOKUP(SalesRecord!$D87,W_sheet_Sales_record!$C$3:$D$13,2,FALSE))</f>
        <v>250</v>
      </c>
      <c r="F87" s="61">
        <v>350</v>
      </c>
      <c r="G87" s="61">
        <f>SalesRecord!$F87-SalesRecord!$E87</f>
        <v>100</v>
      </c>
      <c r="H87" s="60">
        <v>2</v>
      </c>
      <c r="I87" s="61">
        <f>SalesRecord!$F87*SalesRecord!$H87</f>
        <v>700</v>
      </c>
      <c r="J87" s="61">
        <f>SalesRecord!$G87*SalesRecord!$H87</f>
        <v>200</v>
      </c>
      <c r="K87" s="61" cm="1">
        <f t="array" ref="K87">_xlfn.IFS(SalesRecord!$G87&gt;120,0.5*SalesRecord!$G87,SalesRecord!$G87&lt;120,0.25*SalesRecord!$G87)</f>
        <v>25</v>
      </c>
      <c r="L87" s="61" t="s">
        <v>279</v>
      </c>
      <c r="M87" s="61" t="s">
        <v>282</v>
      </c>
    </row>
    <row r="88" spans="1:13" x14ac:dyDescent="0.25">
      <c r="A88" s="56">
        <v>86</v>
      </c>
      <c r="B88" s="57" t="s">
        <v>259</v>
      </c>
      <c r="C88" s="57">
        <v>1086</v>
      </c>
      <c r="D88" s="57" t="s">
        <v>270</v>
      </c>
      <c r="E88" s="58">
        <f>IF(SalesRecord!$D88=" "," ",VLOOKUP(SalesRecord!$D88,W_sheet_Sales_record!$C$3:$D$13,2,FALSE))</f>
        <v>350</v>
      </c>
      <c r="F88" s="58">
        <v>500</v>
      </c>
      <c r="G88" s="58">
        <f>SalesRecord!$F88-SalesRecord!$E88</f>
        <v>150</v>
      </c>
      <c r="H88" s="57">
        <v>1</v>
      </c>
      <c r="I88" s="58">
        <f>SalesRecord!$F88*SalesRecord!$H88</f>
        <v>500</v>
      </c>
      <c r="J88" s="58">
        <f>SalesRecord!$G88*SalesRecord!$H88</f>
        <v>150</v>
      </c>
      <c r="K88" s="58" cm="1">
        <f t="array" ref="K88">_xlfn.IFS(SalesRecord!$G88&gt;120,0.5*SalesRecord!$G88,SalesRecord!$G88&lt;120,0.25*SalesRecord!$G88)</f>
        <v>75</v>
      </c>
      <c r="L88" s="58" t="s">
        <v>279</v>
      </c>
      <c r="M88" s="58" t="s">
        <v>285</v>
      </c>
    </row>
    <row r="89" spans="1:13" x14ac:dyDescent="0.25">
      <c r="A89" s="59">
        <v>87</v>
      </c>
      <c r="B89" s="60" t="s">
        <v>259</v>
      </c>
      <c r="C89" s="60">
        <v>1087</v>
      </c>
      <c r="D89" s="60" t="s">
        <v>273</v>
      </c>
      <c r="E89" s="61">
        <f>IF(SalesRecord!$D89=" "," ",VLOOKUP(SalesRecord!$D89,W_sheet_Sales_record!$C$3:$D$13,2,FALSE))</f>
        <v>400</v>
      </c>
      <c r="F89" s="61">
        <v>500</v>
      </c>
      <c r="G89" s="61">
        <f>SalesRecord!$F89-SalesRecord!$E89</f>
        <v>100</v>
      </c>
      <c r="H89" s="60">
        <v>13</v>
      </c>
      <c r="I89" s="61">
        <f>SalesRecord!$F89*SalesRecord!$H89</f>
        <v>6500</v>
      </c>
      <c r="J89" s="61">
        <f>SalesRecord!$G89*SalesRecord!$H89</f>
        <v>1300</v>
      </c>
      <c r="K89" s="61" cm="1">
        <f t="array" ref="K89">_xlfn.IFS(SalesRecord!$G89&gt;120,0.5*SalesRecord!$G89,SalesRecord!$G89&lt;120,0.25*SalesRecord!$G89)</f>
        <v>25</v>
      </c>
      <c r="L89" s="61" t="s">
        <v>279</v>
      </c>
      <c r="M89" s="61" t="s">
        <v>290</v>
      </c>
    </row>
    <row r="90" spans="1:13" x14ac:dyDescent="0.25">
      <c r="A90" s="56">
        <v>88</v>
      </c>
      <c r="B90" s="57" t="s">
        <v>259</v>
      </c>
      <c r="C90" s="57">
        <v>1088</v>
      </c>
      <c r="D90" s="57" t="s">
        <v>274</v>
      </c>
      <c r="E90" s="58">
        <f>IF(SalesRecord!$D90=" "," ",VLOOKUP(SalesRecord!$D90,W_sheet_Sales_record!$C$3:$D$13,2,FALSE))</f>
        <v>200</v>
      </c>
      <c r="F90" s="58">
        <v>350</v>
      </c>
      <c r="G90" s="58">
        <f>SalesRecord!$F90-SalesRecord!$E90</f>
        <v>150</v>
      </c>
      <c r="H90" s="57">
        <v>11</v>
      </c>
      <c r="I90" s="58">
        <f>SalesRecord!$F90*SalesRecord!$H90</f>
        <v>3850</v>
      </c>
      <c r="J90" s="58">
        <f>SalesRecord!$G90*SalesRecord!$H90</f>
        <v>1650</v>
      </c>
      <c r="K90" s="58" cm="1">
        <f t="array" ref="K90">_xlfn.IFS(SalesRecord!$G90&gt;120,0.5*SalesRecord!$G90,SalesRecord!$G90&lt;120,0.25*SalesRecord!$G90)</f>
        <v>75</v>
      </c>
      <c r="L90" s="58" t="s">
        <v>279</v>
      </c>
      <c r="M90" s="58" t="s">
        <v>293</v>
      </c>
    </row>
    <row r="91" spans="1:13" x14ac:dyDescent="0.25">
      <c r="A91" s="59">
        <v>89</v>
      </c>
      <c r="B91" s="60" t="s">
        <v>259</v>
      </c>
      <c r="C91" s="60">
        <v>1089</v>
      </c>
      <c r="D91" s="60" t="s">
        <v>242</v>
      </c>
      <c r="E91" s="61">
        <f>IF(SalesRecord!$D91=" "," ",VLOOKUP(SalesRecord!$D91,W_sheet_Sales_record!$C$3:$D$13,2,FALSE))</f>
        <v>500</v>
      </c>
      <c r="F91" s="61">
        <v>700</v>
      </c>
      <c r="G91" s="61">
        <f>SalesRecord!$F91-SalesRecord!$E91</f>
        <v>200</v>
      </c>
      <c r="H91" s="60">
        <v>10</v>
      </c>
      <c r="I91" s="61">
        <f>SalesRecord!$F91*SalesRecord!$H91</f>
        <v>7000</v>
      </c>
      <c r="J91" s="61">
        <f>SalesRecord!$G91*SalesRecord!$H91</f>
        <v>2000</v>
      </c>
      <c r="K91" s="61" cm="1">
        <f t="array" ref="K91">_xlfn.IFS(SalesRecord!$G91&gt;120,0.5*SalesRecord!$G91,SalesRecord!$G91&lt;120,0.25*SalesRecord!$G91)</f>
        <v>100</v>
      </c>
      <c r="L91" s="61" t="s">
        <v>279</v>
      </c>
      <c r="M91" s="61" t="s">
        <v>296</v>
      </c>
    </row>
    <row r="92" spans="1:13" x14ac:dyDescent="0.25">
      <c r="A92" s="56">
        <v>90</v>
      </c>
      <c r="B92" s="57" t="s">
        <v>259</v>
      </c>
      <c r="C92" s="57">
        <v>1090</v>
      </c>
      <c r="D92" s="57" t="s">
        <v>267</v>
      </c>
      <c r="E92" s="58">
        <f>IF(SalesRecord!$D92=" "," ",VLOOKUP(SalesRecord!$D92,W_sheet_Sales_record!$C$3:$D$13,2,FALSE))</f>
        <v>450</v>
      </c>
      <c r="F92" s="58">
        <v>600</v>
      </c>
      <c r="G92" s="58">
        <f>SalesRecord!$F92-SalesRecord!$E92</f>
        <v>150</v>
      </c>
      <c r="H92" s="57">
        <v>5</v>
      </c>
      <c r="I92" s="58">
        <f>SalesRecord!$F92*SalesRecord!$H92</f>
        <v>3000</v>
      </c>
      <c r="J92" s="58">
        <f>SalesRecord!$G92*SalesRecord!$H92</f>
        <v>750</v>
      </c>
      <c r="K92" s="58" cm="1">
        <f t="array" ref="K92">_xlfn.IFS(SalesRecord!$G92&gt;120,0.5*SalesRecord!$G92,SalesRecord!$G92&lt;120,0.25*SalesRecord!$G92)</f>
        <v>75</v>
      </c>
      <c r="L92" s="58" t="s">
        <v>279</v>
      </c>
      <c r="M92" s="58" t="s">
        <v>299</v>
      </c>
    </row>
    <row r="93" spans="1:13" x14ac:dyDescent="0.25">
      <c r="A93" s="59">
        <v>91</v>
      </c>
      <c r="B93" s="60" t="s">
        <v>260</v>
      </c>
      <c r="C93" s="60">
        <v>1091</v>
      </c>
      <c r="D93" s="60" t="s">
        <v>271</v>
      </c>
      <c r="E93" s="61">
        <f>IF(SalesRecord!$D93=" "," ",VLOOKUP(SalesRecord!$D93,W_sheet_Sales_record!$C$3:$D$13,2,FALSE))</f>
        <v>250</v>
      </c>
      <c r="F93" s="61">
        <v>350</v>
      </c>
      <c r="G93" s="61">
        <f>SalesRecord!$F93-SalesRecord!$E93</f>
        <v>100</v>
      </c>
      <c r="H93" s="60">
        <v>16</v>
      </c>
      <c r="I93" s="61">
        <f>SalesRecord!$F93*SalesRecord!$H93</f>
        <v>5600</v>
      </c>
      <c r="J93" s="61">
        <f>SalesRecord!$G93*SalesRecord!$H93</f>
        <v>1600</v>
      </c>
      <c r="K93" s="61" cm="1">
        <f t="array" ref="K93">_xlfn.IFS(SalesRecord!$G93&gt;120,0.5*SalesRecord!$G93,SalesRecord!$G93&lt;120,0.25*SalesRecord!$G93)</f>
        <v>25</v>
      </c>
      <c r="L93" s="61" t="s">
        <v>280</v>
      </c>
      <c r="M93" s="61" t="s">
        <v>283</v>
      </c>
    </row>
    <row r="94" spans="1:13" x14ac:dyDescent="0.25">
      <c r="A94" s="56">
        <v>92</v>
      </c>
      <c r="B94" s="57" t="s">
        <v>260</v>
      </c>
      <c r="C94" s="57">
        <v>1092</v>
      </c>
      <c r="D94" s="57" t="s">
        <v>275</v>
      </c>
      <c r="E94" s="58">
        <f>IF(SalesRecord!$D94=" "," ",VLOOKUP(SalesRecord!$D94,W_sheet_Sales_record!$C$3:$D$13,2,FALSE))</f>
        <v>400</v>
      </c>
      <c r="F94" s="58">
        <v>500</v>
      </c>
      <c r="G94" s="58">
        <f>SalesRecord!$F94-SalesRecord!$E94</f>
        <v>100</v>
      </c>
      <c r="H94" s="57">
        <v>21</v>
      </c>
      <c r="I94" s="58">
        <f>SalesRecord!$F94*SalesRecord!$H94</f>
        <v>10500</v>
      </c>
      <c r="J94" s="58">
        <f>SalesRecord!$G94*SalesRecord!$H94</f>
        <v>2100</v>
      </c>
      <c r="K94" s="58" cm="1">
        <f t="array" ref="K94">_xlfn.IFS(SalesRecord!$G94&gt;120,0.5*SalesRecord!$G94,SalesRecord!$G94&lt;120,0.25*SalesRecord!$G94)</f>
        <v>25</v>
      </c>
      <c r="L94" s="58" t="s">
        <v>280</v>
      </c>
      <c r="M94" s="58" t="s">
        <v>286</v>
      </c>
    </row>
    <row r="95" spans="1:13" x14ac:dyDescent="0.25">
      <c r="A95" s="59">
        <v>93</v>
      </c>
      <c r="B95" s="60" t="s">
        <v>260</v>
      </c>
      <c r="C95" s="60">
        <v>1093</v>
      </c>
      <c r="D95" s="60" t="s">
        <v>269</v>
      </c>
      <c r="E95" s="61">
        <f>IF(SalesRecord!$D95=" "," ",VLOOKUP(SalesRecord!$D95,W_sheet_Sales_record!$C$3:$D$13,2,FALSE))</f>
        <v>300</v>
      </c>
      <c r="F95" s="61">
        <v>450</v>
      </c>
      <c r="G95" s="61">
        <f>SalesRecord!$F95-SalesRecord!$E95</f>
        <v>150</v>
      </c>
      <c r="H95" s="60">
        <v>40</v>
      </c>
      <c r="I95" s="61">
        <f>SalesRecord!$F95*SalesRecord!$H95</f>
        <v>18000</v>
      </c>
      <c r="J95" s="61">
        <f>SalesRecord!$G95*SalesRecord!$H95</f>
        <v>6000</v>
      </c>
      <c r="K95" s="61" cm="1">
        <f t="array" ref="K95">_xlfn.IFS(SalesRecord!$G95&gt;120,0.5*SalesRecord!$G95,SalesRecord!$G95&lt;120,0.25*SalesRecord!$G95)</f>
        <v>75</v>
      </c>
      <c r="L95" s="61" t="s">
        <v>280</v>
      </c>
      <c r="M95" s="61" t="s">
        <v>291</v>
      </c>
    </row>
    <row r="96" spans="1:13" x14ac:dyDescent="0.25">
      <c r="A96" s="56">
        <v>94</v>
      </c>
      <c r="B96" s="57" t="s">
        <v>260</v>
      </c>
      <c r="C96" s="57">
        <v>1094</v>
      </c>
      <c r="D96" s="57" t="s">
        <v>272</v>
      </c>
      <c r="E96" s="58">
        <f>IF(SalesRecord!$D96=" "," ",VLOOKUP(SalesRecord!$D96,W_sheet_Sales_record!$C$3:$D$13,2,FALSE))</f>
        <v>450</v>
      </c>
      <c r="F96" s="58">
        <v>550</v>
      </c>
      <c r="G96" s="58">
        <f>SalesRecord!$F96-SalesRecord!$E96</f>
        <v>100</v>
      </c>
      <c r="H96" s="57">
        <v>23</v>
      </c>
      <c r="I96" s="58">
        <f>SalesRecord!$F96*SalesRecord!$H96</f>
        <v>12650</v>
      </c>
      <c r="J96" s="58">
        <f>SalesRecord!$G96*SalesRecord!$H96</f>
        <v>2300</v>
      </c>
      <c r="K96" s="58" cm="1">
        <f t="array" ref="K96">_xlfn.IFS(SalesRecord!$G96&gt;120,0.5*SalesRecord!$G96,SalesRecord!$G96&lt;120,0.25*SalesRecord!$G96)</f>
        <v>25</v>
      </c>
      <c r="L96" s="58" t="s">
        <v>280</v>
      </c>
      <c r="M96" s="58" t="s">
        <v>294</v>
      </c>
    </row>
    <row r="97" spans="1:13" x14ac:dyDescent="0.25">
      <c r="A97" s="59">
        <v>95</v>
      </c>
      <c r="B97" s="60" t="s">
        <v>260</v>
      </c>
      <c r="C97" s="60">
        <v>1095</v>
      </c>
      <c r="D97" s="60" t="s">
        <v>268</v>
      </c>
      <c r="E97" s="61">
        <f>IF(SalesRecord!$D97=" "," ",VLOOKUP(SalesRecord!$D97,W_sheet_Sales_record!$C$3:$D$13,2,FALSE))</f>
        <v>250</v>
      </c>
      <c r="F97" s="61">
        <v>400</v>
      </c>
      <c r="G97" s="61">
        <f>SalesRecord!$F97-SalesRecord!$E97</f>
        <v>150</v>
      </c>
      <c r="H97" s="60">
        <v>12</v>
      </c>
      <c r="I97" s="61">
        <f>SalesRecord!$F97*SalesRecord!$H97</f>
        <v>4800</v>
      </c>
      <c r="J97" s="61">
        <f>SalesRecord!$G97*SalesRecord!$H97</f>
        <v>1800</v>
      </c>
      <c r="K97" s="61" cm="1">
        <f t="array" ref="K97">_xlfn.IFS(SalesRecord!$G97&gt;120,0.5*SalesRecord!$G97,SalesRecord!$G97&lt;120,0.25*SalesRecord!$G97)</f>
        <v>75</v>
      </c>
      <c r="L97" s="61" t="s">
        <v>280</v>
      </c>
      <c r="M97" s="61" t="s">
        <v>297</v>
      </c>
    </row>
    <row r="98" spans="1:13" x14ac:dyDescent="0.25">
      <c r="A98" s="56">
        <v>96</v>
      </c>
      <c r="B98" s="57" t="s">
        <v>260</v>
      </c>
      <c r="C98" s="57">
        <v>1096</v>
      </c>
      <c r="D98" s="57" t="s">
        <v>270</v>
      </c>
      <c r="E98" s="58">
        <f>IF(SalesRecord!$D98=" "," ",VLOOKUP(SalesRecord!$D98,W_sheet_Sales_record!$C$3:$D$13,2,FALSE))</f>
        <v>350</v>
      </c>
      <c r="F98" s="58">
        <v>550</v>
      </c>
      <c r="G98" s="58">
        <f>SalesRecord!$F98-SalesRecord!$E98</f>
        <v>200</v>
      </c>
      <c r="H98" s="57">
        <v>14</v>
      </c>
      <c r="I98" s="58">
        <f>SalesRecord!$F98*SalesRecord!$H98</f>
        <v>7700</v>
      </c>
      <c r="J98" s="58">
        <f>SalesRecord!$G98*SalesRecord!$H98</f>
        <v>2800</v>
      </c>
      <c r="K98" s="58" cm="1">
        <f t="array" ref="K98">_xlfn.IFS(SalesRecord!$G98&gt;120,0.5*SalesRecord!$G98,SalesRecord!$G98&lt;120,0.25*SalesRecord!$G98)</f>
        <v>100</v>
      </c>
      <c r="L98" s="58" t="s">
        <v>280</v>
      </c>
      <c r="M98" s="58" t="s">
        <v>300</v>
      </c>
    </row>
    <row r="99" spans="1:13" x14ac:dyDescent="0.25">
      <c r="A99" s="59">
        <v>97</v>
      </c>
      <c r="B99" s="60" t="s">
        <v>260</v>
      </c>
      <c r="C99" s="60">
        <v>1097</v>
      </c>
      <c r="D99" s="60" t="s">
        <v>273</v>
      </c>
      <c r="E99" s="61">
        <f>IF(SalesRecord!$D99=" "," ",VLOOKUP(SalesRecord!$D99,W_sheet_Sales_record!$C$3:$D$13,2,FALSE))</f>
        <v>400</v>
      </c>
      <c r="F99" s="61">
        <v>600</v>
      </c>
      <c r="G99" s="61">
        <f>SalesRecord!$F99-SalesRecord!$E99</f>
        <v>200</v>
      </c>
      <c r="H99" s="60">
        <v>7</v>
      </c>
      <c r="I99" s="61">
        <f>SalesRecord!$F99*SalesRecord!$H99</f>
        <v>4200</v>
      </c>
      <c r="J99" s="61">
        <f>SalesRecord!$G99*SalesRecord!$H99</f>
        <v>1400</v>
      </c>
      <c r="K99" s="61" cm="1">
        <f t="array" ref="K99">_xlfn.IFS(SalesRecord!$G99&gt;120,0.5*SalesRecord!$G99,SalesRecord!$G99&lt;120,0.25*SalesRecord!$G99)</f>
        <v>100</v>
      </c>
      <c r="L99" s="61" t="s">
        <v>278</v>
      </c>
      <c r="M99" s="61" t="s">
        <v>281</v>
      </c>
    </row>
    <row r="100" spans="1:13" x14ac:dyDescent="0.25">
      <c r="A100" s="56">
        <v>98</v>
      </c>
      <c r="B100" s="57" t="s">
        <v>260</v>
      </c>
      <c r="C100" s="57">
        <v>1098</v>
      </c>
      <c r="D100" s="57" t="s">
        <v>274</v>
      </c>
      <c r="E100" s="58">
        <f>IF(SalesRecord!$D100=" "," ",VLOOKUP(SalesRecord!$D100,W_sheet_Sales_record!$C$3:$D$13,2,FALSE))</f>
        <v>200</v>
      </c>
      <c r="F100" s="58">
        <v>300</v>
      </c>
      <c r="G100" s="58">
        <f>SalesRecord!$F100-SalesRecord!$E100</f>
        <v>100</v>
      </c>
      <c r="H100" s="57">
        <v>9</v>
      </c>
      <c r="I100" s="58">
        <f>SalesRecord!$F100*SalesRecord!$H100</f>
        <v>2700</v>
      </c>
      <c r="J100" s="58">
        <f>SalesRecord!$G100*SalesRecord!$H100</f>
        <v>900</v>
      </c>
      <c r="K100" s="58" cm="1">
        <f t="array" ref="K100">_xlfn.IFS(SalesRecord!$G100&gt;120,0.5*SalesRecord!$G100,SalesRecord!$G100&lt;120,0.25*SalesRecord!$G100)</f>
        <v>25</v>
      </c>
      <c r="L100" s="58" t="s">
        <v>278</v>
      </c>
      <c r="M100" s="58" t="s">
        <v>281</v>
      </c>
    </row>
    <row r="101" spans="1:13" x14ac:dyDescent="0.25">
      <c r="A101" s="59">
        <v>99</v>
      </c>
      <c r="B101" s="60" t="s">
        <v>260</v>
      </c>
      <c r="C101" s="60">
        <v>1099</v>
      </c>
      <c r="D101" s="60" t="s">
        <v>242</v>
      </c>
      <c r="E101" s="61">
        <f>IF(SalesRecord!$D101=" "," ",VLOOKUP(SalesRecord!$D101,W_sheet_Sales_record!$C$3:$D$13,2,FALSE))</f>
        <v>500</v>
      </c>
      <c r="F101" s="61">
        <v>600</v>
      </c>
      <c r="G101" s="61">
        <f>SalesRecord!$F101-SalesRecord!$E101</f>
        <v>100</v>
      </c>
      <c r="H101" s="60">
        <v>4</v>
      </c>
      <c r="I101" s="61">
        <f>SalesRecord!$F101*SalesRecord!$H101</f>
        <v>2400</v>
      </c>
      <c r="J101" s="61">
        <f>SalesRecord!$G101*SalesRecord!$H101</f>
        <v>400</v>
      </c>
      <c r="K101" s="61" cm="1">
        <f t="array" ref="K101">_xlfn.IFS(SalesRecord!$G101&gt;120,0.5*SalesRecord!$G101,SalesRecord!$G101&lt;120,0.25*SalesRecord!$G101)</f>
        <v>25</v>
      </c>
      <c r="L101" s="61" t="s">
        <v>278</v>
      </c>
      <c r="M101" s="61" t="s">
        <v>284</v>
      </c>
    </row>
    <row r="102" spans="1:13" x14ac:dyDescent="0.25">
      <c r="A102" s="56">
        <v>100</v>
      </c>
      <c r="B102" s="57" t="s">
        <v>260</v>
      </c>
      <c r="C102" s="57">
        <v>1100</v>
      </c>
      <c r="D102" s="57" t="s">
        <v>267</v>
      </c>
      <c r="E102" s="58">
        <f>IF(SalesRecord!$D102=" "," ",VLOOKUP(SalesRecord!$D102,W_sheet_Sales_record!$C$3:$D$13,2,FALSE))</f>
        <v>450</v>
      </c>
      <c r="F102" s="58">
        <v>600</v>
      </c>
      <c r="G102" s="58">
        <f>SalesRecord!$F102-SalesRecord!$E102</f>
        <v>150</v>
      </c>
      <c r="H102" s="57">
        <v>21</v>
      </c>
      <c r="I102" s="58">
        <f>SalesRecord!$F102*SalesRecord!$H102</f>
        <v>12600</v>
      </c>
      <c r="J102" s="58">
        <f>SalesRecord!$G102*SalesRecord!$H102</f>
        <v>3150</v>
      </c>
      <c r="K102" s="58" cm="1">
        <f t="array" ref="K102">_xlfn.IFS(SalesRecord!$G102&gt;120,0.5*SalesRecord!$G102,SalesRecord!$G102&lt;120,0.25*SalesRecord!$G102)</f>
        <v>75</v>
      </c>
      <c r="L102" s="58" t="s">
        <v>278</v>
      </c>
      <c r="M102" s="58" t="s">
        <v>289</v>
      </c>
    </row>
    <row r="103" spans="1:13" x14ac:dyDescent="0.25">
      <c r="A103" s="59">
        <v>101</v>
      </c>
      <c r="B103" s="60" t="s">
        <v>260</v>
      </c>
      <c r="C103" s="60">
        <v>1101</v>
      </c>
      <c r="D103" s="60" t="s">
        <v>271</v>
      </c>
      <c r="E103" s="61">
        <f>IF(SalesRecord!$D103=" "," ",VLOOKUP(SalesRecord!$D103,W_sheet_Sales_record!$C$3:$D$13,2,FALSE))</f>
        <v>250</v>
      </c>
      <c r="F103" s="61">
        <v>350</v>
      </c>
      <c r="G103" s="61">
        <f>SalesRecord!$F103-SalesRecord!$E103</f>
        <v>100</v>
      </c>
      <c r="H103" s="60">
        <v>5</v>
      </c>
      <c r="I103" s="61">
        <f>SalesRecord!$F103*SalesRecord!$H103</f>
        <v>1750</v>
      </c>
      <c r="J103" s="61">
        <f>SalesRecord!$G103*SalesRecord!$H103</f>
        <v>500</v>
      </c>
      <c r="K103" s="61" cm="1">
        <f t="array" ref="K103">_xlfn.IFS(SalesRecord!$G103&gt;120,0.5*SalesRecord!$G103,SalesRecord!$G103&lt;120,0.25*SalesRecord!$G103)</f>
        <v>25</v>
      </c>
      <c r="L103" s="61" t="s">
        <v>278</v>
      </c>
      <c r="M103" s="61" t="s">
        <v>292</v>
      </c>
    </row>
    <row r="104" spans="1:13" x14ac:dyDescent="0.25">
      <c r="A104" s="56">
        <v>102</v>
      </c>
      <c r="B104" s="57" t="s">
        <v>260</v>
      </c>
      <c r="C104" s="57">
        <v>1102</v>
      </c>
      <c r="D104" s="57" t="s">
        <v>275</v>
      </c>
      <c r="E104" s="58">
        <f>IF(SalesRecord!$D104=" "," ",VLOOKUP(SalesRecord!$D104,W_sheet_Sales_record!$C$3:$D$13,2,FALSE))</f>
        <v>400</v>
      </c>
      <c r="F104" s="58">
        <v>500</v>
      </c>
      <c r="G104" s="58">
        <f>SalesRecord!$F104-SalesRecord!$E104</f>
        <v>100</v>
      </c>
      <c r="H104" s="57">
        <v>32</v>
      </c>
      <c r="I104" s="58">
        <f>SalesRecord!$F104*SalesRecord!$H104</f>
        <v>16000</v>
      </c>
      <c r="J104" s="58">
        <f>SalesRecord!$G104*SalesRecord!$H104</f>
        <v>3200</v>
      </c>
      <c r="K104" s="58" cm="1">
        <f t="array" ref="K104">_xlfn.IFS(SalesRecord!$G104&gt;120,0.5*SalesRecord!$G104,SalesRecord!$G104&lt;120,0.25*SalesRecord!$G104)</f>
        <v>25</v>
      </c>
      <c r="L104" s="58" t="s">
        <v>278</v>
      </c>
      <c r="M104" s="58" t="s">
        <v>295</v>
      </c>
    </row>
    <row r="105" spans="1:13" x14ac:dyDescent="0.25">
      <c r="A105" s="59">
        <v>103</v>
      </c>
      <c r="B105" s="60" t="s">
        <v>261</v>
      </c>
      <c r="C105" s="60">
        <v>1103</v>
      </c>
      <c r="D105" s="60" t="s">
        <v>269</v>
      </c>
      <c r="E105" s="61">
        <f>IF(SalesRecord!$D105=" "," ",VLOOKUP(SalesRecord!$D105,W_sheet_Sales_record!$C$3:$D$13,2,FALSE))</f>
        <v>300</v>
      </c>
      <c r="F105" s="61">
        <v>450</v>
      </c>
      <c r="G105" s="61">
        <f>SalesRecord!$F105-SalesRecord!$E105</f>
        <v>150</v>
      </c>
      <c r="H105" s="60">
        <v>8</v>
      </c>
      <c r="I105" s="61">
        <f>SalesRecord!$F105*SalesRecord!$H105</f>
        <v>3600</v>
      </c>
      <c r="J105" s="61">
        <f>SalesRecord!$G105*SalesRecord!$H105</f>
        <v>1200</v>
      </c>
      <c r="K105" s="61" cm="1">
        <f t="array" ref="K105">_xlfn.IFS(SalesRecord!$G105&gt;120,0.5*SalesRecord!$G105,SalesRecord!$G105&lt;120,0.25*SalesRecord!$G105)</f>
        <v>75</v>
      </c>
      <c r="L105" s="61" t="s">
        <v>278</v>
      </c>
      <c r="M105" s="61" t="s">
        <v>298</v>
      </c>
    </row>
    <row r="106" spans="1:13" x14ac:dyDescent="0.25">
      <c r="A106" s="56">
        <v>104</v>
      </c>
      <c r="B106" s="57" t="s">
        <v>261</v>
      </c>
      <c r="C106" s="57">
        <v>1104</v>
      </c>
      <c r="D106" s="57" t="s">
        <v>272</v>
      </c>
      <c r="E106" s="58">
        <f>IF(SalesRecord!$D106=" "," ",VLOOKUP(SalesRecord!$D106,W_sheet_Sales_record!$C$3:$D$13,2,FALSE))</f>
        <v>450</v>
      </c>
      <c r="F106" s="58">
        <v>600</v>
      </c>
      <c r="G106" s="58">
        <f>SalesRecord!$F106-SalesRecord!$E106</f>
        <v>150</v>
      </c>
      <c r="H106" s="57">
        <v>9</v>
      </c>
      <c r="I106" s="58">
        <f>SalesRecord!$F106*SalesRecord!$H106</f>
        <v>5400</v>
      </c>
      <c r="J106" s="58">
        <f>SalesRecord!$G106*SalesRecord!$H106</f>
        <v>1350</v>
      </c>
      <c r="K106" s="58" cm="1">
        <f t="array" ref="K106">_xlfn.IFS(SalesRecord!$G106&gt;120,0.5*SalesRecord!$G106,SalesRecord!$G106&lt;120,0.25*SalesRecord!$G106)</f>
        <v>75</v>
      </c>
      <c r="L106" s="58" t="s">
        <v>279</v>
      </c>
      <c r="M106" s="58" t="s">
        <v>282</v>
      </c>
    </row>
    <row r="107" spans="1:13" x14ac:dyDescent="0.25">
      <c r="A107" s="59">
        <v>105</v>
      </c>
      <c r="B107" s="60" t="s">
        <v>261</v>
      </c>
      <c r="C107" s="60">
        <v>1105</v>
      </c>
      <c r="D107" s="60" t="s">
        <v>268</v>
      </c>
      <c r="E107" s="61">
        <f>IF(SalesRecord!$D107=" "," ",VLOOKUP(SalesRecord!$D107,W_sheet_Sales_record!$C$3:$D$13,2,FALSE))</f>
        <v>250</v>
      </c>
      <c r="F107" s="61">
        <v>450</v>
      </c>
      <c r="G107" s="61">
        <f>SalesRecord!$F107-SalesRecord!$E107</f>
        <v>200</v>
      </c>
      <c r="H107" s="60">
        <v>13</v>
      </c>
      <c r="I107" s="61">
        <f>SalesRecord!$F107*SalesRecord!$H107</f>
        <v>5850</v>
      </c>
      <c r="J107" s="61">
        <f>SalesRecord!$G107*SalesRecord!$H107</f>
        <v>2600</v>
      </c>
      <c r="K107" s="61" cm="1">
        <f t="array" ref="K107">_xlfn.IFS(SalesRecord!$G107&gt;120,0.5*SalesRecord!$G107,SalesRecord!$G107&lt;120,0.25*SalesRecord!$G107)</f>
        <v>100</v>
      </c>
      <c r="L107" s="58" t="s">
        <v>279</v>
      </c>
      <c r="M107" s="61" t="s">
        <v>285</v>
      </c>
    </row>
    <row r="108" spans="1:13" x14ac:dyDescent="0.25">
      <c r="A108" s="56">
        <v>106</v>
      </c>
      <c r="B108" s="57" t="s">
        <v>261</v>
      </c>
      <c r="C108" s="57">
        <v>1106</v>
      </c>
      <c r="D108" s="57" t="s">
        <v>270</v>
      </c>
      <c r="E108" s="58">
        <f>IF(SalesRecord!$D108=" "," ",VLOOKUP(SalesRecord!$D108,W_sheet_Sales_record!$C$3:$D$13,2,FALSE))</f>
        <v>350</v>
      </c>
      <c r="F108" s="58">
        <v>500</v>
      </c>
      <c r="G108" s="58">
        <f>SalesRecord!$F108-SalesRecord!$E108</f>
        <v>150</v>
      </c>
      <c r="H108" s="57">
        <v>17</v>
      </c>
      <c r="I108" s="58">
        <f>SalesRecord!$F108*SalesRecord!$H108</f>
        <v>8500</v>
      </c>
      <c r="J108" s="58">
        <f>SalesRecord!$G108*SalesRecord!$H108</f>
        <v>2550</v>
      </c>
      <c r="K108" s="58" cm="1">
        <f t="array" ref="K108">_xlfn.IFS(SalesRecord!$G108&gt;120,0.5*SalesRecord!$G108,SalesRecord!$G108&lt;120,0.25*SalesRecord!$G108)</f>
        <v>75</v>
      </c>
      <c r="L108" s="58" t="s">
        <v>279</v>
      </c>
      <c r="M108" s="58" t="s">
        <v>290</v>
      </c>
    </row>
    <row r="109" spans="1:13" x14ac:dyDescent="0.25">
      <c r="A109" s="59">
        <v>107</v>
      </c>
      <c r="B109" s="60" t="s">
        <v>261</v>
      </c>
      <c r="C109" s="60">
        <v>1107</v>
      </c>
      <c r="D109" s="60" t="s">
        <v>273</v>
      </c>
      <c r="E109" s="61">
        <f>IF(SalesRecord!$D109=" "," ",VLOOKUP(SalesRecord!$D109,W_sheet_Sales_record!$C$3:$D$13,2,FALSE))</f>
        <v>400</v>
      </c>
      <c r="F109" s="61">
        <v>600</v>
      </c>
      <c r="G109" s="61">
        <f>SalesRecord!$F109-SalesRecord!$E109</f>
        <v>200</v>
      </c>
      <c r="H109" s="60">
        <v>25</v>
      </c>
      <c r="I109" s="61">
        <f>SalesRecord!$F109*SalesRecord!$H109</f>
        <v>15000</v>
      </c>
      <c r="J109" s="61">
        <f>SalesRecord!$G109*SalesRecord!$H109</f>
        <v>5000</v>
      </c>
      <c r="K109" s="61" cm="1">
        <f t="array" ref="K109">_xlfn.IFS(SalesRecord!$G109&gt;120,0.5*SalesRecord!$G109,SalesRecord!$G109&lt;120,0.25*SalesRecord!$G109)</f>
        <v>100</v>
      </c>
      <c r="L109" s="58" t="s">
        <v>279</v>
      </c>
      <c r="M109" s="61" t="s">
        <v>293</v>
      </c>
    </row>
    <row r="110" spans="1:13" x14ac:dyDescent="0.25">
      <c r="A110" s="56">
        <v>108</v>
      </c>
      <c r="B110" s="57" t="s">
        <v>261</v>
      </c>
      <c r="C110" s="57">
        <v>1108</v>
      </c>
      <c r="D110" s="57" t="s">
        <v>274</v>
      </c>
      <c r="E110" s="58">
        <f>IF(SalesRecord!$D110=" "," ",VLOOKUP(SalesRecord!$D110,W_sheet_Sales_record!$C$3:$D$13,2,FALSE))</f>
        <v>200</v>
      </c>
      <c r="F110" s="58">
        <v>400</v>
      </c>
      <c r="G110" s="58">
        <f>SalesRecord!$F110-SalesRecord!$E110</f>
        <v>200</v>
      </c>
      <c r="H110" s="57">
        <v>19</v>
      </c>
      <c r="I110" s="58">
        <f>SalesRecord!$F110*SalesRecord!$H110</f>
        <v>7600</v>
      </c>
      <c r="J110" s="58">
        <f>SalesRecord!$G110*SalesRecord!$H110</f>
        <v>3800</v>
      </c>
      <c r="K110" s="58" cm="1">
        <f t="array" ref="K110">_xlfn.IFS(SalesRecord!$G110&gt;120,0.5*SalesRecord!$G110,SalesRecord!$G110&lt;120,0.25*SalesRecord!$G110)</f>
        <v>100</v>
      </c>
      <c r="L110" s="58" t="s">
        <v>279</v>
      </c>
      <c r="M110" s="58" t="s">
        <v>296</v>
      </c>
    </row>
    <row r="111" spans="1:13" x14ac:dyDescent="0.25">
      <c r="A111" s="59">
        <v>109</v>
      </c>
      <c r="B111" s="60" t="s">
        <v>261</v>
      </c>
      <c r="C111" s="60">
        <v>1109</v>
      </c>
      <c r="D111" s="60" t="s">
        <v>242</v>
      </c>
      <c r="E111" s="61">
        <f>IF(SalesRecord!$D111=" "," ",VLOOKUP(SalesRecord!$D111,W_sheet_Sales_record!$C$3:$D$13,2,FALSE))</f>
        <v>500</v>
      </c>
      <c r="F111" s="61">
        <v>600</v>
      </c>
      <c r="G111" s="61">
        <f>SalesRecord!$F111-SalesRecord!$E111</f>
        <v>100</v>
      </c>
      <c r="H111" s="60">
        <v>18</v>
      </c>
      <c r="I111" s="61">
        <f>SalesRecord!$F111*SalesRecord!$H111</f>
        <v>10800</v>
      </c>
      <c r="J111" s="61">
        <f>SalesRecord!$G111*SalesRecord!$H111</f>
        <v>1800</v>
      </c>
      <c r="K111" s="61" cm="1">
        <f t="array" ref="K111">_xlfn.IFS(SalesRecord!$G111&gt;120,0.5*SalesRecord!$G111,SalesRecord!$G111&lt;120,0.25*SalesRecord!$G111)</f>
        <v>25</v>
      </c>
      <c r="L111" s="58" t="s">
        <v>279</v>
      </c>
      <c r="M111" s="61" t="s">
        <v>299</v>
      </c>
    </row>
    <row r="112" spans="1:13" x14ac:dyDescent="0.25">
      <c r="A112" s="56">
        <v>110</v>
      </c>
      <c r="B112" s="57" t="s">
        <v>261</v>
      </c>
      <c r="C112" s="57">
        <v>1110</v>
      </c>
      <c r="D112" s="57" t="s">
        <v>267</v>
      </c>
      <c r="E112" s="58">
        <f>IF(SalesRecord!$D112=" "," ",VLOOKUP(SalesRecord!$D112,W_sheet_Sales_record!$C$3:$D$13,2,FALSE))</f>
        <v>450</v>
      </c>
      <c r="F112" s="58">
        <v>550</v>
      </c>
      <c r="G112" s="58">
        <f>SalesRecord!$F112-SalesRecord!$E112</f>
        <v>100</v>
      </c>
      <c r="H112" s="57">
        <v>20</v>
      </c>
      <c r="I112" s="58">
        <f>SalesRecord!$F112*SalesRecord!$H112</f>
        <v>11000</v>
      </c>
      <c r="J112" s="58">
        <f>SalesRecord!$G112*SalesRecord!$H112</f>
        <v>2000</v>
      </c>
      <c r="K112" s="58" cm="1">
        <f t="array" ref="K112">_xlfn.IFS(SalesRecord!$G112&gt;120,0.5*SalesRecord!$G112,SalesRecord!$G112&lt;120,0.25*SalesRecord!$G112)</f>
        <v>25</v>
      </c>
      <c r="L112" s="58" t="s">
        <v>280</v>
      </c>
      <c r="M112" s="58" t="s">
        <v>283</v>
      </c>
    </row>
    <row r="113" spans="1:13" x14ac:dyDescent="0.25">
      <c r="A113" s="59">
        <v>111</v>
      </c>
      <c r="B113" s="60" t="s">
        <v>261</v>
      </c>
      <c r="C113" s="60">
        <v>1111</v>
      </c>
      <c r="D113" s="60" t="s">
        <v>271</v>
      </c>
      <c r="E113" s="61">
        <f>IF(SalesRecord!$D113=" "," ",VLOOKUP(SalesRecord!$D113,W_sheet_Sales_record!$C$3:$D$13,2,FALSE))</f>
        <v>250</v>
      </c>
      <c r="F113" s="61">
        <v>400</v>
      </c>
      <c r="G113" s="61">
        <f>SalesRecord!$F113-SalesRecord!$E113</f>
        <v>150</v>
      </c>
      <c r="H113" s="60">
        <v>14</v>
      </c>
      <c r="I113" s="61">
        <f>SalesRecord!$F113*SalesRecord!$H113</f>
        <v>5600</v>
      </c>
      <c r="J113" s="61">
        <f>SalesRecord!$G113*SalesRecord!$H113</f>
        <v>2100</v>
      </c>
      <c r="K113" s="61" cm="1">
        <f t="array" ref="K113">_xlfn.IFS(SalesRecord!$G113&gt;120,0.5*SalesRecord!$G113,SalesRecord!$G113&lt;120,0.25*SalesRecord!$G113)</f>
        <v>75</v>
      </c>
      <c r="L113" s="58" t="s">
        <v>280</v>
      </c>
      <c r="M113" s="61" t="s">
        <v>286</v>
      </c>
    </row>
    <row r="114" spans="1:13" x14ac:dyDescent="0.25">
      <c r="A114" s="56">
        <v>112</v>
      </c>
      <c r="B114" s="57" t="s">
        <v>261</v>
      </c>
      <c r="C114" s="57">
        <v>1112</v>
      </c>
      <c r="D114" s="57" t="s">
        <v>275</v>
      </c>
      <c r="E114" s="58">
        <f>IF(SalesRecord!$D114=" "," ",VLOOKUP(SalesRecord!$D114,W_sheet_Sales_record!$C$3:$D$13,2,FALSE))</f>
        <v>400</v>
      </c>
      <c r="F114" s="58">
        <v>500</v>
      </c>
      <c r="G114" s="58">
        <f>SalesRecord!$F114-SalesRecord!$E114</f>
        <v>100</v>
      </c>
      <c r="H114" s="57">
        <v>13</v>
      </c>
      <c r="I114" s="58">
        <f>SalesRecord!$F114*SalesRecord!$H114</f>
        <v>6500</v>
      </c>
      <c r="J114" s="58">
        <f>SalesRecord!$G114*SalesRecord!$H114</f>
        <v>1300</v>
      </c>
      <c r="K114" s="58" cm="1">
        <f t="array" ref="K114">_xlfn.IFS(SalesRecord!$G114&gt;120,0.5*SalesRecord!$G114,SalesRecord!$G114&lt;120,0.25*SalesRecord!$G114)</f>
        <v>25</v>
      </c>
      <c r="L114" s="58" t="s">
        <v>280</v>
      </c>
      <c r="M114" s="58" t="s">
        <v>286</v>
      </c>
    </row>
    <row r="115" spans="1:13" x14ac:dyDescent="0.25">
      <c r="A115" s="59">
        <v>113</v>
      </c>
      <c r="B115" s="60" t="s">
        <v>261</v>
      </c>
      <c r="C115" s="60">
        <v>1113</v>
      </c>
      <c r="D115" s="60" t="s">
        <v>269</v>
      </c>
      <c r="E115" s="61">
        <f>IF(SalesRecord!$D115=" "," ",VLOOKUP(SalesRecord!$D115,W_sheet_Sales_record!$C$3:$D$13,2,FALSE))</f>
        <v>300</v>
      </c>
      <c r="F115" s="61">
        <v>450</v>
      </c>
      <c r="G115" s="61">
        <f>SalesRecord!$F115-SalesRecord!$E115</f>
        <v>150</v>
      </c>
      <c r="H115" s="60">
        <v>17</v>
      </c>
      <c r="I115" s="61">
        <f>SalesRecord!$F115*SalesRecord!$H115</f>
        <v>7650</v>
      </c>
      <c r="J115" s="61">
        <f>SalesRecord!$G115*SalesRecord!$H115</f>
        <v>2550</v>
      </c>
      <c r="K115" s="61" cm="1">
        <f t="array" ref="K115">_xlfn.IFS(SalesRecord!$G115&gt;120,0.5*SalesRecord!$G115,SalesRecord!$G115&lt;120,0.25*SalesRecord!$G115)</f>
        <v>75</v>
      </c>
      <c r="L115" s="58" t="s">
        <v>280</v>
      </c>
      <c r="M115" s="61" t="s">
        <v>291</v>
      </c>
    </row>
    <row r="116" spans="1:13" x14ac:dyDescent="0.25">
      <c r="A116" s="56">
        <v>114</v>
      </c>
      <c r="B116" s="57" t="s">
        <v>261</v>
      </c>
      <c r="C116" s="57">
        <v>1114</v>
      </c>
      <c r="D116" s="57" t="s">
        <v>272</v>
      </c>
      <c r="E116" s="58">
        <f>IF(SalesRecord!$D116=" "," ",VLOOKUP(SalesRecord!$D116,W_sheet_Sales_record!$C$3:$D$13,2,FALSE))</f>
        <v>450</v>
      </c>
      <c r="F116" s="58">
        <v>550</v>
      </c>
      <c r="G116" s="58">
        <f>SalesRecord!$F116-SalesRecord!$E116</f>
        <v>100</v>
      </c>
      <c r="H116" s="57">
        <v>22</v>
      </c>
      <c r="I116" s="58">
        <f>SalesRecord!$F116*SalesRecord!$H116</f>
        <v>12100</v>
      </c>
      <c r="J116" s="58">
        <f>SalesRecord!$G116*SalesRecord!$H116</f>
        <v>2200</v>
      </c>
      <c r="K116" s="58" cm="1">
        <f t="array" ref="K116">_xlfn.IFS(SalesRecord!$G116&gt;120,0.5*SalesRecord!$G116,SalesRecord!$G116&lt;120,0.25*SalesRecord!$G116)</f>
        <v>25</v>
      </c>
      <c r="L116" s="58" t="s">
        <v>280</v>
      </c>
      <c r="M116" s="58" t="s">
        <v>294</v>
      </c>
    </row>
    <row r="117" spans="1:13" x14ac:dyDescent="0.25">
      <c r="A117" s="59">
        <v>115</v>
      </c>
      <c r="B117" s="60" t="s">
        <v>262</v>
      </c>
      <c r="C117" s="60">
        <v>1115</v>
      </c>
      <c r="D117" s="60" t="s">
        <v>268</v>
      </c>
      <c r="E117" s="61">
        <f>IF(SalesRecord!$D117=" "," ",VLOOKUP(SalesRecord!$D117,W_sheet_Sales_record!$C$3:$D$13,2,FALSE))</f>
        <v>250</v>
      </c>
      <c r="F117" s="61">
        <v>400</v>
      </c>
      <c r="G117" s="61">
        <f>SalesRecord!$F117-SalesRecord!$E117</f>
        <v>150</v>
      </c>
      <c r="H117" s="60">
        <v>21</v>
      </c>
      <c r="I117" s="61">
        <f>SalesRecord!$F117*SalesRecord!$H117</f>
        <v>8400</v>
      </c>
      <c r="J117" s="61">
        <f>SalesRecord!$G117*SalesRecord!$H117</f>
        <v>3150</v>
      </c>
      <c r="K117" s="61" cm="1">
        <f t="array" ref="K117">_xlfn.IFS(SalesRecord!$G117&gt;120,0.5*SalesRecord!$G117,SalesRecord!$G117&lt;120,0.25*SalesRecord!$G117)</f>
        <v>75</v>
      </c>
      <c r="L117" s="58" t="s">
        <v>280</v>
      </c>
      <c r="M117" s="61" t="s">
        <v>297</v>
      </c>
    </row>
    <row r="118" spans="1:13" x14ac:dyDescent="0.25">
      <c r="A118" s="56">
        <v>116</v>
      </c>
      <c r="B118" s="57" t="s">
        <v>262</v>
      </c>
      <c r="C118" s="57">
        <v>1116</v>
      </c>
      <c r="D118" s="57" t="s">
        <v>270</v>
      </c>
      <c r="E118" s="58">
        <f>IF(SalesRecord!$D118=" "," ",VLOOKUP(SalesRecord!$D118,W_sheet_Sales_record!$C$3:$D$13,2,FALSE))</f>
        <v>350</v>
      </c>
      <c r="F118" s="58">
        <v>500</v>
      </c>
      <c r="G118" s="58">
        <f>SalesRecord!$F118-SalesRecord!$E118</f>
        <v>150</v>
      </c>
      <c r="H118" s="57">
        <v>7</v>
      </c>
      <c r="I118" s="58">
        <f>SalesRecord!$F118*SalesRecord!$H118</f>
        <v>3500</v>
      </c>
      <c r="J118" s="58">
        <f>SalesRecord!$G118*SalesRecord!$H118</f>
        <v>1050</v>
      </c>
      <c r="K118" s="58" cm="1">
        <f t="array" ref="K118">_xlfn.IFS(SalesRecord!$G118&gt;120,0.5*SalesRecord!$G118,SalesRecord!$G118&lt;120,0.25*SalesRecord!$G118)</f>
        <v>75</v>
      </c>
      <c r="L118" s="58" t="s">
        <v>278</v>
      </c>
      <c r="M118" s="58" t="s">
        <v>281</v>
      </c>
    </row>
    <row r="119" spans="1:13" x14ac:dyDescent="0.25">
      <c r="A119" s="59">
        <v>117</v>
      </c>
      <c r="B119" s="60" t="s">
        <v>262</v>
      </c>
      <c r="C119" s="60">
        <v>1117</v>
      </c>
      <c r="D119" s="60" t="s">
        <v>273</v>
      </c>
      <c r="E119" s="61">
        <f>IF(SalesRecord!$D119=" "," ",VLOOKUP(SalesRecord!$D119,W_sheet_Sales_record!$C$3:$D$13,2,FALSE))</f>
        <v>400</v>
      </c>
      <c r="F119" s="61">
        <v>600</v>
      </c>
      <c r="G119" s="61">
        <f>SalesRecord!$F119-SalesRecord!$E119</f>
        <v>200</v>
      </c>
      <c r="H119" s="60">
        <v>4</v>
      </c>
      <c r="I119" s="61">
        <f>SalesRecord!$F119*SalesRecord!$H119</f>
        <v>2400</v>
      </c>
      <c r="J119" s="61">
        <f>SalesRecord!$G119*SalesRecord!$H119</f>
        <v>800</v>
      </c>
      <c r="K119" s="61" cm="1">
        <f t="array" ref="K119">_xlfn.IFS(SalesRecord!$G119&gt;120,0.5*SalesRecord!$G119,SalesRecord!$G119&lt;120,0.25*SalesRecord!$G119)</f>
        <v>100</v>
      </c>
      <c r="L119" s="58" t="s">
        <v>278</v>
      </c>
      <c r="M119" s="61" t="s">
        <v>284</v>
      </c>
    </row>
    <row r="120" spans="1:13" x14ac:dyDescent="0.25">
      <c r="A120" s="56">
        <v>118</v>
      </c>
      <c r="B120" s="57" t="s">
        <v>262</v>
      </c>
      <c r="C120" s="57">
        <v>1118</v>
      </c>
      <c r="D120" s="57" t="s">
        <v>274</v>
      </c>
      <c r="E120" s="58">
        <f>IF(SalesRecord!$D120=" "," ",VLOOKUP(SalesRecord!$D120,W_sheet_Sales_record!$C$3:$D$13,2,FALSE))</f>
        <v>200</v>
      </c>
      <c r="F120" s="58">
        <v>300</v>
      </c>
      <c r="G120" s="58">
        <f>SalesRecord!$F120-SalesRecord!$E120</f>
        <v>100</v>
      </c>
      <c r="H120" s="57">
        <v>3</v>
      </c>
      <c r="I120" s="58">
        <f>SalesRecord!$F120*SalesRecord!$H120</f>
        <v>900</v>
      </c>
      <c r="J120" s="58">
        <f>SalesRecord!$G120*SalesRecord!$H120</f>
        <v>300</v>
      </c>
      <c r="K120" s="58" cm="1">
        <f t="array" ref="K120">_xlfn.IFS(SalesRecord!$G120&gt;120,0.5*SalesRecord!$G120,SalesRecord!$G120&lt;120,0.25*SalesRecord!$G120)</f>
        <v>25</v>
      </c>
      <c r="L120" s="58" t="s">
        <v>278</v>
      </c>
      <c r="M120" s="58" t="s">
        <v>289</v>
      </c>
    </row>
    <row r="121" spans="1:13" x14ac:dyDescent="0.25">
      <c r="A121" s="59">
        <v>119</v>
      </c>
      <c r="B121" s="60" t="s">
        <v>262</v>
      </c>
      <c r="C121" s="60">
        <v>1119</v>
      </c>
      <c r="D121" s="60" t="s">
        <v>242</v>
      </c>
      <c r="E121" s="61">
        <f>IF(SalesRecord!$D121=" "," ",VLOOKUP(SalesRecord!$D121,W_sheet_Sales_record!$C$3:$D$13,2,FALSE))</f>
        <v>500</v>
      </c>
      <c r="F121" s="61">
        <v>700</v>
      </c>
      <c r="G121" s="61">
        <f>SalesRecord!$F121-SalesRecord!$E121</f>
        <v>200</v>
      </c>
      <c r="H121" s="60">
        <v>2</v>
      </c>
      <c r="I121" s="61">
        <f>SalesRecord!$F121*SalesRecord!$H121</f>
        <v>1400</v>
      </c>
      <c r="J121" s="61">
        <f>SalesRecord!$G121*SalesRecord!$H121</f>
        <v>400</v>
      </c>
      <c r="K121" s="61" cm="1">
        <f t="array" ref="K121">_xlfn.IFS(SalesRecord!$G121&gt;120,0.5*SalesRecord!$G121,SalesRecord!$G121&lt;120,0.25*SalesRecord!$G121)</f>
        <v>100</v>
      </c>
      <c r="L121" s="58" t="s">
        <v>278</v>
      </c>
      <c r="M121" s="61" t="s">
        <v>292</v>
      </c>
    </row>
    <row r="122" spans="1:13" x14ac:dyDescent="0.25">
      <c r="A122" s="56">
        <v>120</v>
      </c>
      <c r="B122" s="57" t="s">
        <v>262</v>
      </c>
      <c r="C122" s="57">
        <v>1120</v>
      </c>
      <c r="D122" s="57" t="s">
        <v>267</v>
      </c>
      <c r="E122" s="58">
        <f>IF(SalesRecord!$D122=" "," ",VLOOKUP(SalesRecord!$D122,W_sheet_Sales_record!$C$3:$D$13,2,FALSE))</f>
        <v>450</v>
      </c>
      <c r="F122" s="58">
        <v>600</v>
      </c>
      <c r="G122" s="58">
        <f>SalesRecord!$F122-SalesRecord!$E122</f>
        <v>150</v>
      </c>
      <c r="H122" s="57">
        <v>5</v>
      </c>
      <c r="I122" s="58">
        <f>SalesRecord!$F122*SalesRecord!$H122</f>
        <v>3000</v>
      </c>
      <c r="J122" s="58">
        <f>SalesRecord!$G122*SalesRecord!$H122</f>
        <v>750</v>
      </c>
      <c r="K122" s="58" cm="1">
        <f t="array" ref="K122">_xlfn.IFS(SalesRecord!$G122&gt;120,0.5*SalesRecord!$G122,SalesRecord!$G122&lt;120,0.25*SalesRecord!$G122)</f>
        <v>75</v>
      </c>
      <c r="L122" s="58" t="s">
        <v>278</v>
      </c>
      <c r="M122" s="58" t="s">
        <v>295</v>
      </c>
    </row>
    <row r="123" spans="1:13" x14ac:dyDescent="0.25">
      <c r="A123" s="59">
        <v>121</v>
      </c>
      <c r="B123" s="60" t="s">
        <v>262</v>
      </c>
      <c r="C123" s="60">
        <v>1121</v>
      </c>
      <c r="D123" s="60" t="s">
        <v>271</v>
      </c>
      <c r="E123" s="61">
        <f>IF(SalesRecord!$D123=" "," ",VLOOKUP(SalesRecord!$D123,W_sheet_Sales_record!$C$3:$D$13,2,FALSE))</f>
        <v>250</v>
      </c>
      <c r="F123" s="61">
        <v>400</v>
      </c>
      <c r="G123" s="61">
        <f>SalesRecord!$F123-SalesRecord!$E123</f>
        <v>150</v>
      </c>
      <c r="H123" s="60">
        <v>8</v>
      </c>
      <c r="I123" s="61">
        <f>SalesRecord!$F123*SalesRecord!$H123</f>
        <v>3200</v>
      </c>
      <c r="J123" s="61">
        <f>SalesRecord!$G123*SalesRecord!$H123</f>
        <v>1200</v>
      </c>
      <c r="K123" s="61" cm="1">
        <f t="array" ref="K123">_xlfn.IFS(SalesRecord!$G123&gt;120,0.5*SalesRecord!$G123,SalesRecord!$G123&lt;120,0.25*SalesRecord!$G123)</f>
        <v>75</v>
      </c>
      <c r="L123" s="58" t="s">
        <v>278</v>
      </c>
      <c r="M123" s="61" t="s">
        <v>298</v>
      </c>
    </row>
    <row r="124" spans="1:13" x14ac:dyDescent="0.25">
      <c r="A124" s="56">
        <v>122</v>
      </c>
      <c r="B124" s="57" t="s">
        <v>262</v>
      </c>
      <c r="C124" s="57">
        <v>1122</v>
      </c>
      <c r="D124" s="57" t="s">
        <v>275</v>
      </c>
      <c r="E124" s="58">
        <f>IF(SalesRecord!$D124=" "," ",VLOOKUP(SalesRecord!$D124,W_sheet_Sales_record!$C$3:$D$13,2,FALSE))</f>
        <v>400</v>
      </c>
      <c r="F124" s="58">
        <v>500</v>
      </c>
      <c r="G124" s="58">
        <f>SalesRecord!$F124-SalesRecord!$E124</f>
        <v>100</v>
      </c>
      <c r="H124" s="57">
        <v>6</v>
      </c>
      <c r="I124" s="58">
        <f>SalesRecord!$F124*SalesRecord!$H124</f>
        <v>3000</v>
      </c>
      <c r="J124" s="58">
        <f>SalesRecord!$G124*SalesRecord!$H124</f>
        <v>600</v>
      </c>
      <c r="K124" s="58" cm="1">
        <f t="array" ref="K124">_xlfn.IFS(SalesRecord!$G124&gt;120,0.5*SalesRecord!$G124,SalesRecord!$G124&lt;120,0.25*SalesRecord!$G124)</f>
        <v>25</v>
      </c>
      <c r="L124" s="58" t="s">
        <v>279</v>
      </c>
      <c r="M124" s="58" t="s">
        <v>282</v>
      </c>
    </row>
    <row r="125" spans="1:13" x14ac:dyDescent="0.25">
      <c r="A125" s="59">
        <v>123</v>
      </c>
      <c r="B125" s="60" t="s">
        <v>262</v>
      </c>
      <c r="C125" s="60">
        <v>1123</v>
      </c>
      <c r="D125" s="60" t="s">
        <v>269</v>
      </c>
      <c r="E125" s="61">
        <f>IF(SalesRecord!$D125=" "," ",VLOOKUP(SalesRecord!$D125,W_sheet_Sales_record!$C$3:$D$13,2,FALSE))</f>
        <v>300</v>
      </c>
      <c r="F125" s="61">
        <v>500</v>
      </c>
      <c r="G125" s="61">
        <f>SalesRecord!$F125-SalesRecord!$E125</f>
        <v>200</v>
      </c>
      <c r="H125" s="60">
        <v>9</v>
      </c>
      <c r="I125" s="61">
        <f>SalesRecord!$F125*SalesRecord!$H125</f>
        <v>4500</v>
      </c>
      <c r="J125" s="61">
        <f>SalesRecord!$G125*SalesRecord!$H125</f>
        <v>1800</v>
      </c>
      <c r="K125" s="61" cm="1">
        <f t="array" ref="K125">_xlfn.IFS(SalesRecord!$G125&gt;120,0.5*SalesRecord!$G125,SalesRecord!$G125&lt;120,0.25*SalesRecord!$G125)</f>
        <v>100</v>
      </c>
      <c r="L125" s="58" t="s">
        <v>279</v>
      </c>
      <c r="M125" s="61" t="s">
        <v>285</v>
      </c>
    </row>
    <row r="126" spans="1:13" x14ac:dyDescent="0.25">
      <c r="A126" s="56">
        <v>124</v>
      </c>
      <c r="B126" s="57" t="s">
        <v>262</v>
      </c>
      <c r="C126" s="57">
        <v>1124</v>
      </c>
      <c r="D126" s="57" t="s">
        <v>272</v>
      </c>
      <c r="E126" s="58">
        <f>IF(SalesRecord!$D126=" "," ",VLOOKUP(SalesRecord!$D126,W_sheet_Sales_record!$C$3:$D$13,2,FALSE))</f>
        <v>450</v>
      </c>
      <c r="F126" s="58">
        <v>650</v>
      </c>
      <c r="G126" s="58">
        <f>SalesRecord!$F126-SalesRecord!$E126</f>
        <v>200</v>
      </c>
      <c r="H126" s="57">
        <v>11</v>
      </c>
      <c r="I126" s="58">
        <f>SalesRecord!$F126*SalesRecord!$H126</f>
        <v>7150</v>
      </c>
      <c r="J126" s="58">
        <f>SalesRecord!$G126*SalesRecord!$H126</f>
        <v>2200</v>
      </c>
      <c r="K126" s="58" cm="1">
        <f t="array" ref="K126">_xlfn.IFS(SalesRecord!$G126&gt;120,0.5*SalesRecord!$G126,SalesRecord!$G126&lt;120,0.25*SalesRecord!$G126)</f>
        <v>100</v>
      </c>
      <c r="L126" s="58" t="s">
        <v>279</v>
      </c>
      <c r="M126" s="58" t="s">
        <v>290</v>
      </c>
    </row>
    <row r="127" spans="1:13" x14ac:dyDescent="0.25">
      <c r="A127" s="59">
        <v>125</v>
      </c>
      <c r="B127" s="60" t="s">
        <v>262</v>
      </c>
      <c r="C127" s="60">
        <v>1125</v>
      </c>
      <c r="D127" s="60" t="s">
        <v>268</v>
      </c>
      <c r="E127" s="61">
        <f>IF(SalesRecord!$D127=" "," ",VLOOKUP(SalesRecord!$D127,W_sheet_Sales_record!$C$3:$D$13,2,FALSE))</f>
        <v>250</v>
      </c>
      <c r="F127" s="61">
        <v>450</v>
      </c>
      <c r="G127" s="61">
        <f>SalesRecord!$F127-SalesRecord!$E127</f>
        <v>200</v>
      </c>
      <c r="H127" s="60">
        <v>15</v>
      </c>
      <c r="I127" s="61">
        <f>SalesRecord!$F127*SalesRecord!$H127</f>
        <v>6750</v>
      </c>
      <c r="J127" s="61">
        <f>SalesRecord!$G127*SalesRecord!$H127</f>
        <v>3000</v>
      </c>
      <c r="K127" s="61" cm="1">
        <f t="array" ref="K127">_xlfn.IFS(SalesRecord!$G127&gt;120,0.5*SalesRecord!$G127,SalesRecord!$G127&lt;120,0.25*SalesRecord!$G127)</f>
        <v>100</v>
      </c>
      <c r="L127" s="58" t="s">
        <v>279</v>
      </c>
      <c r="M127" s="61" t="s">
        <v>293</v>
      </c>
    </row>
    <row r="128" spans="1:13" x14ac:dyDescent="0.25">
      <c r="A128" s="56">
        <v>126</v>
      </c>
      <c r="B128" s="57" t="s">
        <v>262</v>
      </c>
      <c r="C128" s="57">
        <v>1126</v>
      </c>
      <c r="D128" s="57" t="s">
        <v>270</v>
      </c>
      <c r="E128" s="58">
        <f>IF(SalesRecord!$D128=" "," ",VLOOKUP(SalesRecord!$D128,W_sheet_Sales_record!$C$3:$D$13,2,FALSE))</f>
        <v>350</v>
      </c>
      <c r="F128" s="58">
        <v>500</v>
      </c>
      <c r="G128" s="58">
        <f>SalesRecord!$F128-SalesRecord!$E128</f>
        <v>150</v>
      </c>
      <c r="H128" s="57">
        <v>2</v>
      </c>
      <c r="I128" s="58">
        <f>SalesRecord!$F128*SalesRecord!$H128</f>
        <v>1000</v>
      </c>
      <c r="J128" s="58">
        <f>SalesRecord!$G128*SalesRecord!$H128</f>
        <v>300</v>
      </c>
      <c r="K128" s="58" cm="1">
        <f t="array" ref="K128">_xlfn.IFS(SalesRecord!$G128&gt;120,0.5*SalesRecord!$G128,SalesRecord!$G128&lt;120,0.25*SalesRecord!$G128)</f>
        <v>75</v>
      </c>
      <c r="L128" s="58" t="s">
        <v>279</v>
      </c>
      <c r="M128" s="58" t="s">
        <v>296</v>
      </c>
    </row>
    <row r="129" spans="1:13" x14ac:dyDescent="0.25">
      <c r="A129" s="59">
        <v>127</v>
      </c>
      <c r="B129" s="60" t="s">
        <v>263</v>
      </c>
      <c r="C129" s="60">
        <v>1127</v>
      </c>
      <c r="D129" s="60" t="s">
        <v>273</v>
      </c>
      <c r="E129" s="61">
        <f>IF(SalesRecord!$D129=" "," ",VLOOKUP(SalesRecord!$D129,W_sheet_Sales_record!$C$3:$D$13,2,FALSE))</f>
        <v>400</v>
      </c>
      <c r="F129" s="61">
        <v>600</v>
      </c>
      <c r="G129" s="61">
        <f>SalesRecord!$F129-SalesRecord!$E129</f>
        <v>200</v>
      </c>
      <c r="H129" s="60">
        <v>10</v>
      </c>
      <c r="I129" s="61">
        <f>SalesRecord!$F129*SalesRecord!$H129</f>
        <v>6000</v>
      </c>
      <c r="J129" s="61">
        <f>SalesRecord!$G129*SalesRecord!$H129</f>
        <v>2000</v>
      </c>
      <c r="K129" s="61" cm="1">
        <f t="array" ref="K129">_xlfn.IFS(SalesRecord!$G129&gt;120,0.5*SalesRecord!$G129,SalesRecord!$G129&lt;120,0.25*SalesRecord!$G129)</f>
        <v>100</v>
      </c>
      <c r="L129" s="58" t="s">
        <v>279</v>
      </c>
      <c r="M129" s="61" t="s">
        <v>299</v>
      </c>
    </row>
    <row r="130" spans="1:13" x14ac:dyDescent="0.25">
      <c r="A130" s="56">
        <v>128</v>
      </c>
      <c r="B130" s="57" t="s">
        <v>263</v>
      </c>
      <c r="C130" s="57">
        <v>1128</v>
      </c>
      <c r="D130" s="57" t="s">
        <v>274</v>
      </c>
      <c r="E130" s="58">
        <f>IF(SalesRecord!$D130=" "," ",VLOOKUP(SalesRecord!$D130,W_sheet_Sales_record!$C$3:$D$13,2,FALSE))</f>
        <v>200</v>
      </c>
      <c r="F130" s="58">
        <v>400</v>
      </c>
      <c r="G130" s="58">
        <f>SalesRecord!$F130-SalesRecord!$E130</f>
        <v>200</v>
      </c>
      <c r="H130" s="57">
        <v>17</v>
      </c>
      <c r="I130" s="58">
        <f>SalesRecord!$F130*SalesRecord!$H130</f>
        <v>6800</v>
      </c>
      <c r="J130" s="58">
        <f>SalesRecord!$G130*SalesRecord!$H130</f>
        <v>3400</v>
      </c>
      <c r="K130" s="58" cm="1">
        <f t="array" ref="K130">_xlfn.IFS(SalesRecord!$G130&gt;120,0.5*SalesRecord!$G130,SalesRecord!$G130&lt;120,0.25*SalesRecord!$G130)</f>
        <v>100</v>
      </c>
      <c r="L130" s="58" t="s">
        <v>280</v>
      </c>
      <c r="M130" s="58" t="s">
        <v>283</v>
      </c>
    </row>
    <row r="131" spans="1:13" x14ac:dyDescent="0.25">
      <c r="A131" s="59">
        <v>129</v>
      </c>
      <c r="B131" s="60" t="s">
        <v>263</v>
      </c>
      <c r="C131" s="60">
        <v>1129</v>
      </c>
      <c r="D131" s="60" t="s">
        <v>242</v>
      </c>
      <c r="E131" s="61">
        <f>IF(SalesRecord!$D131=" "," ",VLOOKUP(SalesRecord!$D131,W_sheet_Sales_record!$C$3:$D$13,2,FALSE))</f>
        <v>500</v>
      </c>
      <c r="F131" s="61">
        <v>650</v>
      </c>
      <c r="G131" s="61">
        <f>SalesRecord!$F131-SalesRecord!$E131</f>
        <v>150</v>
      </c>
      <c r="H131" s="60">
        <v>13</v>
      </c>
      <c r="I131" s="61">
        <f>SalesRecord!$F131*SalesRecord!$H131</f>
        <v>8450</v>
      </c>
      <c r="J131" s="61">
        <f>SalesRecord!$G131*SalesRecord!$H131</f>
        <v>1950</v>
      </c>
      <c r="K131" s="61" cm="1">
        <f t="array" ref="K131">_xlfn.IFS(SalesRecord!$G131&gt;120,0.5*SalesRecord!$G131,SalesRecord!$G131&lt;120,0.25*SalesRecord!$G131)</f>
        <v>75</v>
      </c>
      <c r="L131" s="58" t="s">
        <v>280</v>
      </c>
      <c r="M131" s="61" t="s">
        <v>286</v>
      </c>
    </row>
    <row r="132" spans="1:13" x14ac:dyDescent="0.25">
      <c r="A132" s="56">
        <v>130</v>
      </c>
      <c r="B132" s="57" t="s">
        <v>263</v>
      </c>
      <c r="C132" s="57">
        <v>1130</v>
      </c>
      <c r="D132" s="57" t="s">
        <v>267</v>
      </c>
      <c r="E132" s="58">
        <f>IF(SalesRecord!$D132=" "," ",VLOOKUP(SalesRecord!$D132,W_sheet_Sales_record!$C$3:$D$13,2,FALSE))</f>
        <v>450</v>
      </c>
      <c r="F132" s="58">
        <v>600</v>
      </c>
      <c r="G132" s="58">
        <f>SalesRecord!$F132-SalesRecord!$E132</f>
        <v>150</v>
      </c>
      <c r="H132" s="57">
        <v>30</v>
      </c>
      <c r="I132" s="58">
        <f>SalesRecord!$F132*SalesRecord!$H132</f>
        <v>18000</v>
      </c>
      <c r="J132" s="58">
        <f>SalesRecord!$G132*SalesRecord!$H132</f>
        <v>4500</v>
      </c>
      <c r="K132" s="58" cm="1">
        <f t="array" ref="K132">_xlfn.IFS(SalesRecord!$G132&gt;120,0.5*SalesRecord!$G132,SalesRecord!$G132&lt;120,0.25*SalesRecord!$G132)</f>
        <v>75</v>
      </c>
      <c r="L132" s="58" t="s">
        <v>280</v>
      </c>
      <c r="M132" s="58" t="s">
        <v>291</v>
      </c>
    </row>
    <row r="133" spans="1:13" x14ac:dyDescent="0.25">
      <c r="A133" s="59">
        <v>131</v>
      </c>
      <c r="B133" s="60" t="s">
        <v>263</v>
      </c>
      <c r="C133" s="60">
        <v>1131</v>
      </c>
      <c r="D133" s="60" t="s">
        <v>271</v>
      </c>
      <c r="E133" s="61">
        <f>IF(SalesRecord!$D133=" "," ",VLOOKUP(SalesRecord!$D133,W_sheet_Sales_record!$C$3:$D$13,2,FALSE))</f>
        <v>250</v>
      </c>
      <c r="F133" s="61">
        <v>450</v>
      </c>
      <c r="G133" s="61">
        <f>SalesRecord!$F133-SalesRecord!$E133</f>
        <v>200</v>
      </c>
      <c r="H133" s="60">
        <v>21</v>
      </c>
      <c r="I133" s="61">
        <f>SalesRecord!$F133*SalesRecord!$H133</f>
        <v>9450</v>
      </c>
      <c r="J133" s="61">
        <f>SalesRecord!$G133*SalesRecord!$H133</f>
        <v>4200</v>
      </c>
      <c r="K133" s="61" cm="1">
        <f t="array" ref="K133">_xlfn.IFS(SalesRecord!$G133&gt;120,0.5*SalesRecord!$G133,SalesRecord!$G133&lt;120,0.25*SalesRecord!$G133)</f>
        <v>100</v>
      </c>
      <c r="L133" s="58" t="s">
        <v>280</v>
      </c>
      <c r="M133" s="61" t="s">
        <v>294</v>
      </c>
    </row>
    <row r="134" spans="1:13" x14ac:dyDescent="0.25">
      <c r="A134" s="56">
        <v>132</v>
      </c>
      <c r="B134" s="57" t="s">
        <v>263</v>
      </c>
      <c r="C134" s="57">
        <v>1132</v>
      </c>
      <c r="D134" s="57" t="s">
        <v>275</v>
      </c>
      <c r="E134" s="58">
        <f>IF(SalesRecord!$D134=" "," ",VLOOKUP(SalesRecord!$D134,W_sheet_Sales_record!$C$3:$D$13,2,FALSE))</f>
        <v>400</v>
      </c>
      <c r="F134" s="58">
        <v>500</v>
      </c>
      <c r="G134" s="58">
        <f>SalesRecord!$F134-SalesRecord!$E134</f>
        <v>100</v>
      </c>
      <c r="H134" s="57">
        <v>14</v>
      </c>
      <c r="I134" s="58">
        <f>SalesRecord!$F134*SalesRecord!$H134</f>
        <v>7000</v>
      </c>
      <c r="J134" s="58">
        <f>SalesRecord!$G134*SalesRecord!$H134</f>
        <v>1400</v>
      </c>
      <c r="K134" s="58" cm="1">
        <f t="array" ref="K134">_xlfn.IFS(SalesRecord!$G134&gt;120,0.5*SalesRecord!$G134,SalesRecord!$G134&lt;120,0.25*SalesRecord!$G134)</f>
        <v>25</v>
      </c>
      <c r="L134" s="58" t="s">
        <v>280</v>
      </c>
      <c r="M134" s="58" t="s">
        <v>297</v>
      </c>
    </row>
    <row r="135" spans="1:13" x14ac:dyDescent="0.25">
      <c r="A135" s="59">
        <v>133</v>
      </c>
      <c r="B135" s="60" t="s">
        <v>263</v>
      </c>
      <c r="C135" s="60">
        <v>1133</v>
      </c>
      <c r="D135" s="60" t="s">
        <v>269</v>
      </c>
      <c r="E135" s="61">
        <f>IF(SalesRecord!$D135=" "," ",VLOOKUP(SalesRecord!$D135,W_sheet_Sales_record!$C$3:$D$13,2,FALSE))</f>
        <v>300</v>
      </c>
      <c r="F135" s="61">
        <v>500</v>
      </c>
      <c r="G135" s="61">
        <f>SalesRecord!$F135-SalesRecord!$E135</f>
        <v>200</v>
      </c>
      <c r="H135" s="60">
        <v>18</v>
      </c>
      <c r="I135" s="61">
        <f>SalesRecord!$F135*SalesRecord!$H135</f>
        <v>9000</v>
      </c>
      <c r="J135" s="61">
        <f>SalesRecord!$G135*SalesRecord!$H135</f>
        <v>3600</v>
      </c>
      <c r="K135" s="61" cm="1">
        <f t="array" ref="K135">_xlfn.IFS(SalesRecord!$G135&gt;120,0.5*SalesRecord!$G135,SalesRecord!$G135&lt;120,0.25*SalesRecord!$G135)</f>
        <v>100</v>
      </c>
      <c r="L135" s="58" t="s">
        <v>280</v>
      </c>
      <c r="M135" s="61" t="s">
        <v>300</v>
      </c>
    </row>
    <row r="136" spans="1:13" x14ac:dyDescent="0.25">
      <c r="A136" s="56">
        <v>134</v>
      </c>
      <c r="B136" s="57" t="s">
        <v>263</v>
      </c>
      <c r="C136" s="57">
        <v>1134</v>
      </c>
      <c r="D136" s="57" t="s">
        <v>272</v>
      </c>
      <c r="E136" s="58">
        <f>IF(SalesRecord!$D136=" "," ",VLOOKUP(SalesRecord!$D136,W_sheet_Sales_record!$C$3:$D$13,2,FALSE))</f>
        <v>450</v>
      </c>
      <c r="F136" s="58">
        <v>650</v>
      </c>
      <c r="G136" s="58">
        <f>SalesRecord!$F136-SalesRecord!$E136</f>
        <v>200</v>
      </c>
      <c r="H136" s="57">
        <v>16</v>
      </c>
      <c r="I136" s="58">
        <f>SalesRecord!$F136*SalesRecord!$H136</f>
        <v>10400</v>
      </c>
      <c r="J136" s="58">
        <f>SalesRecord!$G136*SalesRecord!$H136</f>
        <v>3200</v>
      </c>
      <c r="K136" s="58" cm="1">
        <f t="array" ref="K136">_xlfn.IFS(SalesRecord!$G136&gt;120,0.5*SalesRecord!$G136,SalesRecord!$G136&lt;120,0.25*SalesRecord!$G136)</f>
        <v>100</v>
      </c>
      <c r="L136" s="58" t="s">
        <v>278</v>
      </c>
      <c r="M136" s="58" t="s">
        <v>281</v>
      </c>
    </row>
    <row r="137" spans="1:13" x14ac:dyDescent="0.25">
      <c r="A137" s="59">
        <v>135</v>
      </c>
      <c r="B137" s="60" t="s">
        <v>263</v>
      </c>
      <c r="C137" s="60">
        <v>1135</v>
      </c>
      <c r="D137" s="60" t="s">
        <v>268</v>
      </c>
      <c r="E137" s="61">
        <f>IF(SalesRecord!$D137=" "," ",VLOOKUP(SalesRecord!$D137,W_sheet_Sales_record!$C$3:$D$13,2,FALSE))</f>
        <v>250</v>
      </c>
      <c r="F137" s="61">
        <v>400</v>
      </c>
      <c r="G137" s="61">
        <f>SalesRecord!$F137-SalesRecord!$E137</f>
        <v>150</v>
      </c>
      <c r="H137" s="60">
        <v>22</v>
      </c>
      <c r="I137" s="61">
        <f>SalesRecord!$F137*SalesRecord!$H137</f>
        <v>8800</v>
      </c>
      <c r="J137" s="61">
        <f>SalesRecord!$G137*SalesRecord!$H137</f>
        <v>3300</v>
      </c>
      <c r="K137" s="61" cm="1">
        <f t="array" ref="K137">_xlfn.IFS(SalesRecord!$G137&gt;120,0.5*SalesRecord!$G137,SalesRecord!$G137&lt;120,0.25*SalesRecord!$G137)</f>
        <v>75</v>
      </c>
      <c r="L137" s="58" t="s">
        <v>278</v>
      </c>
      <c r="M137" s="61" t="s">
        <v>284</v>
      </c>
    </row>
    <row r="138" spans="1:13" x14ac:dyDescent="0.25">
      <c r="A138" s="56">
        <v>136</v>
      </c>
      <c r="B138" s="57" t="s">
        <v>263</v>
      </c>
      <c r="C138" s="57">
        <v>1136</v>
      </c>
      <c r="D138" s="57" t="s">
        <v>270</v>
      </c>
      <c r="E138" s="58">
        <f>IF(SalesRecord!$D138=" "," ",VLOOKUP(SalesRecord!$D138,W_sheet_Sales_record!$C$3:$D$13,2,FALSE))</f>
        <v>350</v>
      </c>
      <c r="F138" s="58">
        <v>500</v>
      </c>
      <c r="G138" s="58">
        <f>SalesRecord!$F138-SalesRecord!$E138</f>
        <v>150</v>
      </c>
      <c r="H138" s="57">
        <v>4</v>
      </c>
      <c r="I138" s="58">
        <f>SalesRecord!$F138*SalesRecord!$H138</f>
        <v>2000</v>
      </c>
      <c r="J138" s="58">
        <f>SalesRecord!$G138*SalesRecord!$H138</f>
        <v>600</v>
      </c>
      <c r="K138" s="58" cm="1">
        <f t="array" ref="K138">_xlfn.IFS(SalesRecord!$G138&gt;120,0.5*SalesRecord!$G138,SalesRecord!$G138&lt;120,0.25*SalesRecord!$G138)</f>
        <v>75</v>
      </c>
      <c r="L138" s="58" t="s">
        <v>278</v>
      </c>
      <c r="M138" s="58" t="s">
        <v>289</v>
      </c>
    </row>
    <row r="139" spans="1:13" x14ac:dyDescent="0.25">
      <c r="A139" s="59">
        <v>137</v>
      </c>
      <c r="B139" s="60" t="s">
        <v>263</v>
      </c>
      <c r="C139" s="60">
        <v>1137</v>
      </c>
      <c r="D139" s="60" t="s">
        <v>273</v>
      </c>
      <c r="E139" s="61">
        <f>IF(SalesRecord!$D139=" "," ",VLOOKUP(SalesRecord!$D139,W_sheet_Sales_record!$C$3:$D$13,2,FALSE))</f>
        <v>400</v>
      </c>
      <c r="F139" s="61">
        <v>600</v>
      </c>
      <c r="G139" s="61">
        <f>SalesRecord!$F139-SalesRecord!$E139</f>
        <v>200</v>
      </c>
      <c r="H139" s="60">
        <v>7</v>
      </c>
      <c r="I139" s="61">
        <f>SalesRecord!$F139*SalesRecord!$H139</f>
        <v>4200</v>
      </c>
      <c r="J139" s="61">
        <f>SalesRecord!$G139*SalesRecord!$H139</f>
        <v>1400</v>
      </c>
      <c r="K139" s="61" cm="1">
        <f t="array" ref="K139">_xlfn.IFS(SalesRecord!$G139&gt;120,0.5*SalesRecord!$G139,SalesRecord!$G139&lt;120,0.25*SalesRecord!$G139)</f>
        <v>100</v>
      </c>
      <c r="L139" s="58" t="s">
        <v>278</v>
      </c>
      <c r="M139" s="61" t="s">
        <v>292</v>
      </c>
    </row>
    <row r="140" spans="1:13" x14ac:dyDescent="0.25">
      <c r="A140" s="56">
        <v>138</v>
      </c>
      <c r="B140" s="57" t="s">
        <v>263</v>
      </c>
      <c r="C140" s="57">
        <v>1138</v>
      </c>
      <c r="D140" s="57" t="s">
        <v>274</v>
      </c>
      <c r="E140" s="58">
        <f>IF(SalesRecord!$D140=" "," ",VLOOKUP(SalesRecord!$D140,W_sheet_Sales_record!$C$3:$D$13,2,FALSE))</f>
        <v>200</v>
      </c>
      <c r="F140" s="58">
        <v>350</v>
      </c>
      <c r="G140" s="58">
        <f>SalesRecord!$F140-SalesRecord!$E140</f>
        <v>150</v>
      </c>
      <c r="H140" s="57">
        <v>9</v>
      </c>
      <c r="I140" s="58">
        <f>SalesRecord!$F140*SalesRecord!$H140</f>
        <v>3150</v>
      </c>
      <c r="J140" s="58">
        <f>SalesRecord!$G140*SalesRecord!$H140</f>
        <v>1350</v>
      </c>
      <c r="K140" s="58" cm="1">
        <f t="array" ref="K140">_xlfn.IFS(SalesRecord!$G140&gt;120,0.5*SalesRecord!$G140,SalesRecord!$G140&lt;120,0.25*SalesRecord!$G140)</f>
        <v>75</v>
      </c>
      <c r="L140" s="58" t="s">
        <v>278</v>
      </c>
      <c r="M140" s="58" t="s">
        <v>295</v>
      </c>
    </row>
    <row r="141" spans="1:13" x14ac:dyDescent="0.25">
      <c r="A141" s="59">
        <v>139</v>
      </c>
      <c r="B141" s="60" t="s">
        <v>264</v>
      </c>
      <c r="C141" s="60">
        <v>1139</v>
      </c>
      <c r="D141" s="60" t="s">
        <v>242</v>
      </c>
      <c r="E141" s="61">
        <f>IF(SalesRecord!$D141=" "," ",VLOOKUP(SalesRecord!$D141,W_sheet_Sales_record!$C$3:$D$13,2,FALSE))</f>
        <v>500</v>
      </c>
      <c r="F141" s="61">
        <v>650</v>
      </c>
      <c r="G141" s="61">
        <f>SalesRecord!$F141-SalesRecord!$E141</f>
        <v>150</v>
      </c>
      <c r="H141" s="60">
        <v>3</v>
      </c>
      <c r="I141" s="61">
        <f>SalesRecord!$F141*SalesRecord!$H141</f>
        <v>1950</v>
      </c>
      <c r="J141" s="61">
        <f>SalesRecord!$G141*SalesRecord!$H141</f>
        <v>450</v>
      </c>
      <c r="K141" s="61" cm="1">
        <f t="array" ref="K141">_xlfn.IFS(SalesRecord!$G141&gt;120,0.5*SalesRecord!$G141,SalesRecord!$G141&lt;120,0.25*SalesRecord!$G141)</f>
        <v>75</v>
      </c>
      <c r="L141" s="58" t="s">
        <v>278</v>
      </c>
      <c r="M141" s="61" t="s">
        <v>298</v>
      </c>
    </row>
    <row r="142" spans="1:13" x14ac:dyDescent="0.25">
      <c r="A142" s="56">
        <v>140</v>
      </c>
      <c r="B142" s="57" t="s">
        <v>264</v>
      </c>
      <c r="C142" s="57">
        <v>1140</v>
      </c>
      <c r="D142" s="57" t="s">
        <v>267</v>
      </c>
      <c r="E142" s="58">
        <f>IF(SalesRecord!$D142=" "," ",VLOOKUP(SalesRecord!$D142,W_sheet_Sales_record!$C$3:$D$13,2,FALSE))</f>
        <v>450</v>
      </c>
      <c r="F142" s="58">
        <v>600</v>
      </c>
      <c r="G142" s="58">
        <f>SalesRecord!$F142-SalesRecord!$E142</f>
        <v>150</v>
      </c>
      <c r="H142" s="57">
        <v>5</v>
      </c>
      <c r="I142" s="58">
        <f>SalesRecord!$F142*SalesRecord!$H142</f>
        <v>3000</v>
      </c>
      <c r="J142" s="58">
        <f>SalesRecord!$G142*SalesRecord!$H142</f>
        <v>750</v>
      </c>
      <c r="K142" s="58" cm="1">
        <f t="array" ref="K142">_xlfn.IFS(SalesRecord!$G142&gt;120,0.5*SalesRecord!$G142,SalesRecord!$G142&lt;120,0.25*SalesRecord!$G142)</f>
        <v>75</v>
      </c>
      <c r="L142" s="58" t="s">
        <v>279</v>
      </c>
      <c r="M142" s="58" t="s">
        <v>282</v>
      </c>
    </row>
    <row r="143" spans="1:13" x14ac:dyDescent="0.25">
      <c r="A143" s="59">
        <v>141</v>
      </c>
      <c r="B143" s="60" t="s">
        <v>264</v>
      </c>
      <c r="C143" s="60">
        <v>1141</v>
      </c>
      <c r="D143" s="60" t="s">
        <v>271</v>
      </c>
      <c r="E143" s="61">
        <f>IF(SalesRecord!$D143=" "," ",VLOOKUP(SalesRecord!$D143,W_sheet_Sales_record!$C$3:$D$13,2,FALSE))</f>
        <v>250</v>
      </c>
      <c r="F143" s="61">
        <v>400</v>
      </c>
      <c r="G143" s="61">
        <f>SalesRecord!$F143-SalesRecord!$E143</f>
        <v>150</v>
      </c>
      <c r="H143" s="60">
        <v>2</v>
      </c>
      <c r="I143" s="61">
        <f>SalesRecord!$F143*SalesRecord!$H143</f>
        <v>800</v>
      </c>
      <c r="J143" s="61">
        <f>SalesRecord!$G143*SalesRecord!$H143</f>
        <v>300</v>
      </c>
      <c r="K143" s="61" cm="1">
        <f t="array" ref="K143">_xlfn.IFS(SalesRecord!$G143&gt;120,0.5*SalesRecord!$G143,SalesRecord!$G143&lt;120,0.25*SalesRecord!$G143)</f>
        <v>75</v>
      </c>
      <c r="L143" s="58" t="s">
        <v>279</v>
      </c>
      <c r="M143" s="61" t="s">
        <v>285</v>
      </c>
    </row>
    <row r="144" spans="1:13" x14ac:dyDescent="0.25">
      <c r="A144" s="56">
        <v>142</v>
      </c>
      <c r="B144" s="57" t="s">
        <v>264</v>
      </c>
      <c r="C144" s="57">
        <v>1142</v>
      </c>
      <c r="D144" s="57" t="s">
        <v>275</v>
      </c>
      <c r="E144" s="58">
        <f>IF(SalesRecord!$D144=" "," ",VLOOKUP(SalesRecord!$D144,W_sheet_Sales_record!$C$3:$D$13,2,FALSE))</f>
        <v>400</v>
      </c>
      <c r="F144" s="58">
        <v>600</v>
      </c>
      <c r="G144" s="58">
        <f>SalesRecord!$F144-SalesRecord!$E144</f>
        <v>200</v>
      </c>
      <c r="H144" s="57">
        <v>6</v>
      </c>
      <c r="I144" s="58">
        <f>SalesRecord!$F144*SalesRecord!$H144</f>
        <v>3600</v>
      </c>
      <c r="J144" s="58">
        <f>SalesRecord!$G144*SalesRecord!$H144</f>
        <v>1200</v>
      </c>
      <c r="K144" s="58" cm="1">
        <f t="array" ref="K144">_xlfn.IFS(SalesRecord!$G144&gt;120,0.5*SalesRecord!$G144,SalesRecord!$G144&lt;120,0.25*SalesRecord!$G144)</f>
        <v>100</v>
      </c>
      <c r="L144" s="58" t="s">
        <v>279</v>
      </c>
      <c r="M144" s="58" t="s">
        <v>290</v>
      </c>
    </row>
    <row r="145" spans="1:13" x14ac:dyDescent="0.25">
      <c r="A145" s="59">
        <v>143</v>
      </c>
      <c r="B145" s="60" t="s">
        <v>264</v>
      </c>
      <c r="C145" s="60">
        <v>1143</v>
      </c>
      <c r="D145" s="60" t="s">
        <v>269</v>
      </c>
      <c r="E145" s="61">
        <f>IF(SalesRecord!$D145=" "," ",VLOOKUP(SalesRecord!$D145,W_sheet_Sales_record!$C$3:$D$13,2,FALSE))</f>
        <v>300</v>
      </c>
      <c r="F145" s="61">
        <v>400</v>
      </c>
      <c r="G145" s="61">
        <f>SalesRecord!$F145-SalesRecord!$E145</f>
        <v>100</v>
      </c>
      <c r="H145" s="60">
        <v>18</v>
      </c>
      <c r="I145" s="61">
        <f>SalesRecord!$F145*SalesRecord!$H145</f>
        <v>7200</v>
      </c>
      <c r="J145" s="61">
        <f>SalesRecord!$G145*SalesRecord!$H145</f>
        <v>1800</v>
      </c>
      <c r="K145" s="61" cm="1">
        <f t="array" ref="K145">_xlfn.IFS(SalesRecord!$G145&gt;120,0.5*SalesRecord!$G145,SalesRecord!$G145&lt;120,0.25*SalesRecord!$G145)</f>
        <v>25</v>
      </c>
      <c r="L145" s="58" t="s">
        <v>279</v>
      </c>
      <c r="M145" s="61" t="s">
        <v>293</v>
      </c>
    </row>
    <row r="146" spans="1:13" x14ac:dyDescent="0.25">
      <c r="A146" s="56">
        <v>144</v>
      </c>
      <c r="B146" s="57" t="s">
        <v>264</v>
      </c>
      <c r="C146" s="57">
        <v>1144</v>
      </c>
      <c r="D146" s="57" t="s">
        <v>272</v>
      </c>
      <c r="E146" s="58">
        <f>IF(SalesRecord!$D146=" "," ",VLOOKUP(SalesRecord!$D146,W_sheet_Sales_record!$C$3:$D$13,2,FALSE))</f>
        <v>450</v>
      </c>
      <c r="F146" s="58">
        <v>550</v>
      </c>
      <c r="G146" s="58">
        <f>SalesRecord!$F146-SalesRecord!$E146</f>
        <v>100</v>
      </c>
      <c r="H146" s="57">
        <v>30</v>
      </c>
      <c r="I146" s="58">
        <f>SalesRecord!$F146*SalesRecord!$H146</f>
        <v>16500</v>
      </c>
      <c r="J146" s="58">
        <f>SalesRecord!$G146*SalesRecord!$H146</f>
        <v>3000</v>
      </c>
      <c r="K146" s="58" cm="1">
        <f t="array" ref="K146">_xlfn.IFS(SalesRecord!$G146&gt;120,0.5*SalesRecord!$G146,SalesRecord!$G146&lt;120,0.25*SalesRecord!$G146)</f>
        <v>25</v>
      </c>
      <c r="L146" s="58" t="s">
        <v>279</v>
      </c>
      <c r="M146" s="58" t="s">
        <v>296</v>
      </c>
    </row>
    <row r="147" spans="1:13" x14ac:dyDescent="0.25">
      <c r="A147" s="59">
        <v>145</v>
      </c>
      <c r="B147" s="60" t="s">
        <v>264</v>
      </c>
      <c r="C147" s="60">
        <v>1145</v>
      </c>
      <c r="D147" s="60" t="s">
        <v>268</v>
      </c>
      <c r="E147" s="61">
        <f>IF(SalesRecord!$D147=" "," ",VLOOKUP(SalesRecord!$D147,W_sheet_Sales_record!$C$3:$D$13,2,FALSE))</f>
        <v>250</v>
      </c>
      <c r="F147" s="61">
        <v>450</v>
      </c>
      <c r="G147" s="61">
        <f>SalesRecord!$F147-SalesRecord!$E147</f>
        <v>200</v>
      </c>
      <c r="H147" s="60">
        <v>19</v>
      </c>
      <c r="I147" s="61">
        <f>SalesRecord!$F147*SalesRecord!$H147</f>
        <v>8550</v>
      </c>
      <c r="J147" s="61">
        <f>SalesRecord!$G147*SalesRecord!$H147</f>
        <v>3800</v>
      </c>
      <c r="K147" s="61" cm="1">
        <f t="array" ref="K147">_xlfn.IFS(SalesRecord!$G147&gt;120,0.5*SalesRecord!$G147,SalesRecord!$G147&lt;120,0.25*SalesRecord!$G147)</f>
        <v>100</v>
      </c>
      <c r="L147" s="58" t="s">
        <v>279</v>
      </c>
      <c r="M147" s="61" t="s">
        <v>299</v>
      </c>
    </row>
    <row r="148" spans="1:13" x14ac:dyDescent="0.25">
      <c r="A148" s="56">
        <v>146</v>
      </c>
      <c r="B148" s="57" t="s">
        <v>264</v>
      </c>
      <c r="C148" s="57">
        <v>1146</v>
      </c>
      <c r="D148" s="57" t="s">
        <v>270</v>
      </c>
      <c r="E148" s="58">
        <f>IF(SalesRecord!$D148=" "," ",VLOOKUP(SalesRecord!$D148,W_sheet_Sales_record!$C$3:$D$13,2,FALSE))</f>
        <v>350</v>
      </c>
      <c r="F148" s="58">
        <v>500</v>
      </c>
      <c r="G148" s="58">
        <f>SalesRecord!$F148-SalesRecord!$E148</f>
        <v>150</v>
      </c>
      <c r="H148" s="57">
        <v>3</v>
      </c>
      <c r="I148" s="58">
        <f>SalesRecord!$F148*SalesRecord!$H148</f>
        <v>1500</v>
      </c>
      <c r="J148" s="58">
        <f>SalesRecord!$G148*SalesRecord!$H148</f>
        <v>450</v>
      </c>
      <c r="K148" s="58" cm="1">
        <f t="array" ref="K148">_xlfn.IFS(SalesRecord!$G148&gt;120,0.5*SalesRecord!$G148,SalesRecord!$G148&lt;120,0.25*SalesRecord!$G148)</f>
        <v>75</v>
      </c>
      <c r="L148" s="58" t="s">
        <v>280</v>
      </c>
      <c r="M148" s="58" t="s">
        <v>283</v>
      </c>
    </row>
    <row r="149" spans="1:13" x14ac:dyDescent="0.25">
      <c r="A149" s="59">
        <v>147</v>
      </c>
      <c r="B149" s="60" t="s">
        <v>264</v>
      </c>
      <c r="C149" s="60">
        <v>1147</v>
      </c>
      <c r="D149" s="60" t="s">
        <v>273</v>
      </c>
      <c r="E149" s="61">
        <f>IF(SalesRecord!$D149=" "," ",VLOOKUP(SalesRecord!$D149,W_sheet_Sales_record!$C$3:$D$13,2,FALSE))</f>
        <v>400</v>
      </c>
      <c r="F149" s="61">
        <v>600</v>
      </c>
      <c r="G149" s="61">
        <f>SalesRecord!$F149-SalesRecord!$E149</f>
        <v>200</v>
      </c>
      <c r="H149" s="60">
        <v>16</v>
      </c>
      <c r="I149" s="61">
        <f>SalesRecord!$F149*SalesRecord!$H149</f>
        <v>9600</v>
      </c>
      <c r="J149" s="61">
        <f>SalesRecord!$G149*SalesRecord!$H149</f>
        <v>3200</v>
      </c>
      <c r="K149" s="61" cm="1">
        <f t="array" ref="K149">_xlfn.IFS(SalesRecord!$G149&gt;120,0.5*SalesRecord!$G149,SalesRecord!$G149&lt;120,0.25*SalesRecord!$G149)</f>
        <v>100</v>
      </c>
      <c r="L149" s="58" t="s">
        <v>280</v>
      </c>
      <c r="M149" s="61" t="s">
        <v>286</v>
      </c>
    </row>
    <row r="150" spans="1:13" x14ac:dyDescent="0.25">
      <c r="A150" s="56">
        <v>148</v>
      </c>
      <c r="B150" s="57" t="s">
        <v>264</v>
      </c>
      <c r="C150" s="57">
        <v>1148</v>
      </c>
      <c r="D150" s="57" t="s">
        <v>274</v>
      </c>
      <c r="E150" s="58">
        <f>IF(SalesRecord!$D150=" "," ",VLOOKUP(SalesRecord!$D150,W_sheet_Sales_record!$C$3:$D$13,2,FALSE))</f>
        <v>200</v>
      </c>
      <c r="F150" s="58">
        <v>300</v>
      </c>
      <c r="G150" s="58">
        <f>SalesRecord!$F150-SalesRecord!$E150</f>
        <v>100</v>
      </c>
      <c r="H150" s="57">
        <v>13</v>
      </c>
      <c r="I150" s="58">
        <f>SalesRecord!$F150*SalesRecord!$H150</f>
        <v>3900</v>
      </c>
      <c r="J150" s="58">
        <f>SalesRecord!$G150*SalesRecord!$H150</f>
        <v>1300</v>
      </c>
      <c r="K150" s="58" cm="1">
        <f t="array" ref="K150">_xlfn.IFS(SalesRecord!$G150&gt;120,0.5*SalesRecord!$G150,SalesRecord!$G150&lt;120,0.25*SalesRecord!$G150)</f>
        <v>25</v>
      </c>
      <c r="L150" s="58" t="s">
        <v>280</v>
      </c>
      <c r="M150" s="58" t="s">
        <v>291</v>
      </c>
    </row>
    <row r="151" spans="1:13" x14ac:dyDescent="0.25">
      <c r="A151" s="59">
        <v>149</v>
      </c>
      <c r="B151" s="60" t="s">
        <v>264</v>
      </c>
      <c r="C151" s="60">
        <v>1149</v>
      </c>
      <c r="D151" s="60" t="s">
        <v>242</v>
      </c>
      <c r="E151" s="61">
        <f>IF(SalesRecord!$D151=" "," ",VLOOKUP(SalesRecord!$D151,W_sheet_Sales_record!$C$3:$D$13,2,FALSE))</f>
        <v>500</v>
      </c>
      <c r="F151" s="61">
        <v>700</v>
      </c>
      <c r="G151" s="61">
        <f>SalesRecord!$F151-SalesRecord!$E151</f>
        <v>200</v>
      </c>
      <c r="H151" s="60">
        <v>11</v>
      </c>
      <c r="I151" s="61">
        <f>SalesRecord!$F151*SalesRecord!$H151</f>
        <v>7700</v>
      </c>
      <c r="J151" s="61">
        <f>SalesRecord!$G151*SalesRecord!$H151</f>
        <v>2200</v>
      </c>
      <c r="K151" s="61" cm="1">
        <f t="array" ref="K151">_xlfn.IFS(SalesRecord!$G151&gt;120,0.5*SalesRecord!$G151,SalesRecord!$G151&lt;120,0.25*SalesRecord!$G151)</f>
        <v>100</v>
      </c>
      <c r="L151" s="58" t="s">
        <v>280</v>
      </c>
      <c r="M151" s="61" t="s">
        <v>294</v>
      </c>
    </row>
    <row r="152" spans="1:13" x14ac:dyDescent="0.25">
      <c r="A152" s="56">
        <v>150</v>
      </c>
      <c r="B152" s="57" t="s">
        <v>264</v>
      </c>
      <c r="C152" s="57">
        <v>1150</v>
      </c>
      <c r="D152" s="57" t="s">
        <v>267</v>
      </c>
      <c r="E152" s="58">
        <f>IF(SalesRecord!$D152=" "," ",VLOOKUP(SalesRecord!$D152,W_sheet_Sales_record!$C$3:$D$13,2,FALSE))</f>
        <v>450</v>
      </c>
      <c r="F152" s="58">
        <v>650</v>
      </c>
      <c r="G152" s="58">
        <f>SalesRecord!$F152-SalesRecord!$E152</f>
        <v>200</v>
      </c>
      <c r="H152" s="57">
        <v>21</v>
      </c>
      <c r="I152" s="58">
        <f>SalesRecord!$F152*SalesRecord!$H152</f>
        <v>13650</v>
      </c>
      <c r="J152" s="58">
        <f>SalesRecord!$G152*SalesRecord!$H152</f>
        <v>4200</v>
      </c>
      <c r="K152" s="58" cm="1">
        <f t="array" ref="K152">_xlfn.IFS(SalesRecord!$G152&gt;120,0.5*SalesRecord!$G152,SalesRecord!$G152&lt;120,0.25*SalesRecord!$G152)</f>
        <v>100</v>
      </c>
      <c r="L152" s="58" t="s">
        <v>280</v>
      </c>
      <c r="M152" s="58" t="s">
        <v>291</v>
      </c>
    </row>
  </sheetData>
  <mergeCells count="1">
    <mergeCell ref="A1:B1"/>
  </mergeCells>
  <phoneticPr fontId="2" type="noConversion"/>
  <dataValidations count="4">
    <dataValidation type="list" allowBlank="1" showInputMessage="1" showErrorMessage="1" prompt="Please pick from the list of items" sqref="D3:D152" xr:uid="{11A47433-E835-4895-BF89-42BF8001AB8B}">
      <formula1>INDIRECT("product")</formula1>
    </dataValidation>
    <dataValidation type="list" allowBlank="1" showInputMessage="1" showErrorMessage="1" sqref="L3:L152" xr:uid="{ABD375B7-DE99-4CD8-91F0-3DBF3BF1485C}">
      <formula1>Location</formula1>
    </dataValidation>
    <dataValidation type="list" allowBlank="1" showInputMessage="1" showErrorMessage="1" sqref="M1:M2 M153:M1048576" xr:uid="{D775A55E-37BC-48B0-8864-69AD4C20E1A6}">
      <formula1>INDIRECT($L$3)</formula1>
    </dataValidation>
    <dataValidation type="list" allowBlank="1" showInputMessage="1" showErrorMessage="1" sqref="M3:M152" xr:uid="{89B3DD12-A290-4D15-B094-3FD69AFFB0EE}">
      <formula1>INDIRECT(L3)</formula1>
    </dataValidation>
  </dataValidations>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0669C-695B-4D75-B241-32008BA67B6C}">
  <dimension ref="C3:I13"/>
  <sheetViews>
    <sheetView workbookViewId="0">
      <selection activeCell="H5" sqref="H5"/>
    </sheetView>
  </sheetViews>
  <sheetFormatPr defaultRowHeight="15" x14ac:dyDescent="0.25"/>
  <cols>
    <col min="3" max="3" width="20.5703125" customWidth="1"/>
    <col min="4" max="4" width="12.140625" customWidth="1"/>
  </cols>
  <sheetData>
    <row r="3" spans="3:9" x14ac:dyDescent="0.25">
      <c r="C3" s="44" t="s">
        <v>265</v>
      </c>
      <c r="D3" s="25" t="s">
        <v>266</v>
      </c>
      <c r="G3" t="s">
        <v>278</v>
      </c>
      <c r="H3" t="s">
        <v>279</v>
      </c>
      <c r="I3" t="s">
        <v>280</v>
      </c>
    </row>
    <row r="4" spans="3:9" x14ac:dyDescent="0.25">
      <c r="C4" s="44" t="s">
        <v>242</v>
      </c>
      <c r="D4" s="25">
        <v>500</v>
      </c>
      <c r="G4" t="s">
        <v>281</v>
      </c>
      <c r="H4" t="s">
        <v>282</v>
      </c>
      <c r="I4" t="s">
        <v>283</v>
      </c>
    </row>
    <row r="5" spans="3:9" x14ac:dyDescent="0.25">
      <c r="C5" s="44" t="s">
        <v>267</v>
      </c>
      <c r="D5" s="25">
        <v>450</v>
      </c>
      <c r="G5" t="s">
        <v>284</v>
      </c>
      <c r="H5" t="s">
        <v>285</v>
      </c>
      <c r="I5" t="s">
        <v>286</v>
      </c>
    </row>
    <row r="6" spans="3:9" x14ac:dyDescent="0.25">
      <c r="C6" s="44" t="s">
        <v>271</v>
      </c>
      <c r="D6" s="25">
        <v>250</v>
      </c>
      <c r="G6" t="s">
        <v>289</v>
      </c>
      <c r="H6" t="s">
        <v>290</v>
      </c>
      <c r="I6" t="s">
        <v>291</v>
      </c>
    </row>
    <row r="7" spans="3:9" x14ac:dyDescent="0.25">
      <c r="C7" s="44" t="s">
        <v>275</v>
      </c>
      <c r="D7" s="25">
        <v>400</v>
      </c>
      <c r="G7" t="s">
        <v>292</v>
      </c>
      <c r="H7" t="s">
        <v>293</v>
      </c>
      <c r="I7" t="s">
        <v>294</v>
      </c>
    </row>
    <row r="8" spans="3:9" x14ac:dyDescent="0.25">
      <c r="C8" s="44" t="s">
        <v>269</v>
      </c>
      <c r="D8" s="25">
        <v>300</v>
      </c>
      <c r="G8" t="s">
        <v>295</v>
      </c>
      <c r="H8" t="s">
        <v>296</v>
      </c>
      <c r="I8" t="s">
        <v>297</v>
      </c>
    </row>
    <row r="9" spans="3:9" x14ac:dyDescent="0.25">
      <c r="C9" s="44" t="s">
        <v>272</v>
      </c>
      <c r="D9" s="25">
        <v>450</v>
      </c>
      <c r="G9" t="s">
        <v>298</v>
      </c>
      <c r="H9" t="s">
        <v>299</v>
      </c>
      <c r="I9" t="s">
        <v>300</v>
      </c>
    </row>
    <row r="10" spans="3:9" x14ac:dyDescent="0.25">
      <c r="C10" s="44" t="s">
        <v>268</v>
      </c>
      <c r="D10" s="25">
        <v>250</v>
      </c>
    </row>
    <row r="11" spans="3:9" x14ac:dyDescent="0.25">
      <c r="C11" s="44" t="s">
        <v>270</v>
      </c>
      <c r="D11" s="25">
        <v>350</v>
      </c>
    </row>
    <row r="12" spans="3:9" x14ac:dyDescent="0.25">
      <c r="C12" s="44" t="s">
        <v>273</v>
      </c>
      <c r="D12" s="25">
        <v>400</v>
      </c>
    </row>
    <row r="13" spans="3:9" x14ac:dyDescent="0.25">
      <c r="C13" s="44" t="s">
        <v>274</v>
      </c>
      <c r="D13" s="25">
        <v>200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A71F-2140-484B-8EC7-0006F5D864C5}">
  <dimension ref="A2:B23"/>
  <sheetViews>
    <sheetView topLeftCell="A19" workbookViewId="0">
      <selection activeCell="B21" sqref="B21"/>
    </sheetView>
  </sheetViews>
  <sheetFormatPr defaultRowHeight="15" x14ac:dyDescent="0.25"/>
  <cols>
    <col min="1" max="1" width="13.140625" bestFit="1" customWidth="1"/>
    <col min="2" max="2" width="17.7109375" bestFit="1" customWidth="1"/>
  </cols>
  <sheetData>
    <row r="2" spans="1:2" s="87" customFormat="1" x14ac:dyDescent="0.25">
      <c r="A2" s="87" t="s">
        <v>308</v>
      </c>
    </row>
    <row r="3" spans="1:2" x14ac:dyDescent="0.25">
      <c r="A3" s="62" t="s">
        <v>301</v>
      </c>
      <c r="B3" t="s">
        <v>303</v>
      </c>
    </row>
    <row r="4" spans="1:2" x14ac:dyDescent="0.25">
      <c r="A4" s="63" t="s">
        <v>269</v>
      </c>
      <c r="B4" s="8">
        <v>24550</v>
      </c>
    </row>
    <row r="5" spans="1:2" x14ac:dyDescent="0.25">
      <c r="A5" s="63" t="s">
        <v>302</v>
      </c>
      <c r="B5" s="8">
        <v>24550</v>
      </c>
    </row>
    <row r="11" spans="1:2" s="87" customFormat="1" x14ac:dyDescent="0.25">
      <c r="A11" s="87" t="s">
        <v>309</v>
      </c>
    </row>
    <row r="12" spans="1:2" x14ac:dyDescent="0.25">
      <c r="A12" s="62" t="s">
        <v>301</v>
      </c>
      <c r="B12" t="s">
        <v>304</v>
      </c>
    </row>
    <row r="13" spans="1:2" x14ac:dyDescent="0.25">
      <c r="A13" s="63" t="s">
        <v>281</v>
      </c>
      <c r="B13" s="8">
        <v>675</v>
      </c>
    </row>
    <row r="14" spans="1:2" x14ac:dyDescent="0.25">
      <c r="A14" s="63" t="s">
        <v>302</v>
      </c>
      <c r="B14" s="8">
        <v>675</v>
      </c>
    </row>
    <row r="18" spans="1:2" s="87" customFormat="1" x14ac:dyDescent="0.25">
      <c r="A18" s="87" t="s">
        <v>310</v>
      </c>
    </row>
    <row r="19" spans="1:2" x14ac:dyDescent="0.25">
      <c r="A19" s="62" t="s">
        <v>301</v>
      </c>
      <c r="B19" t="s">
        <v>303</v>
      </c>
    </row>
    <row r="20" spans="1:2" x14ac:dyDescent="0.25">
      <c r="A20" s="63" t="s">
        <v>280</v>
      </c>
      <c r="B20" s="8">
        <v>90650</v>
      </c>
    </row>
    <row r="21" spans="1:2" x14ac:dyDescent="0.25">
      <c r="A21" s="63" t="s">
        <v>279</v>
      </c>
      <c r="B21" s="8">
        <v>75850</v>
      </c>
    </row>
    <row r="22" spans="1:2" x14ac:dyDescent="0.25">
      <c r="A22" s="63" t="s">
        <v>278</v>
      </c>
      <c r="B22" s="8">
        <v>59850</v>
      </c>
    </row>
    <row r="23" spans="1:2" x14ac:dyDescent="0.25">
      <c r="A23" s="63" t="s">
        <v>302</v>
      </c>
      <c r="B23" s="8">
        <v>226350</v>
      </c>
    </row>
  </sheetData>
  <mergeCells count="3">
    <mergeCell ref="A2:XFD2"/>
    <mergeCell ref="A11:XFD11"/>
    <mergeCell ref="A18:XFD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EC76-BC8C-4F6E-9397-AF83DF1327C6}">
  <dimension ref="A4:C45"/>
  <sheetViews>
    <sheetView topLeftCell="A34" workbookViewId="0">
      <selection activeCell="A39" sqref="A39:XFD39"/>
    </sheetView>
  </sheetViews>
  <sheetFormatPr defaultRowHeight="15" x14ac:dyDescent="0.25"/>
  <cols>
    <col min="1" max="1" width="15.42578125" bestFit="1" customWidth="1"/>
    <col min="2" max="2" width="16.28515625" bestFit="1" customWidth="1"/>
    <col min="3" max="3" width="11.28515625" bestFit="1" customWidth="1"/>
    <col min="4" max="4" width="5.42578125" bestFit="1" customWidth="1"/>
    <col min="5" max="5" width="8.42578125" bestFit="1" customWidth="1"/>
    <col min="6" max="6" width="5.7109375" bestFit="1" customWidth="1"/>
    <col min="7" max="7" width="8.28515625" bestFit="1" customWidth="1"/>
    <col min="8" max="8" width="4.7109375" bestFit="1" customWidth="1"/>
    <col min="9" max="9" width="9.28515625" bestFit="1" customWidth="1"/>
    <col min="10" max="10" width="7.5703125" bestFit="1" customWidth="1"/>
    <col min="11" max="11" width="7" bestFit="1" customWidth="1"/>
    <col min="12" max="12" width="11.28515625" bestFit="1" customWidth="1"/>
  </cols>
  <sheetData>
    <row r="4" spans="1:2" s="87" customFormat="1" x14ac:dyDescent="0.25">
      <c r="A4" s="87" t="s">
        <v>311</v>
      </c>
    </row>
    <row r="5" spans="1:2" x14ac:dyDescent="0.25">
      <c r="A5" s="62" t="s">
        <v>301</v>
      </c>
      <c r="B5" t="s">
        <v>303</v>
      </c>
    </row>
    <row r="6" spans="1:2" x14ac:dyDescent="0.25">
      <c r="A6" s="63" t="s">
        <v>268</v>
      </c>
      <c r="B6" s="8">
        <v>34450</v>
      </c>
    </row>
    <row r="7" spans="1:2" x14ac:dyDescent="0.25">
      <c r="A7" s="63" t="s">
        <v>267</v>
      </c>
      <c r="B7" s="8">
        <v>27500</v>
      </c>
    </row>
    <row r="8" spans="1:2" x14ac:dyDescent="0.25">
      <c r="A8" s="63" t="s">
        <v>269</v>
      </c>
      <c r="B8" s="8">
        <v>24550</v>
      </c>
    </row>
    <row r="9" spans="1:2" x14ac:dyDescent="0.25">
      <c r="A9" s="63" t="s">
        <v>272</v>
      </c>
      <c r="B9" s="8">
        <v>24500</v>
      </c>
    </row>
    <row r="10" spans="1:2" x14ac:dyDescent="0.25">
      <c r="A10" s="63" t="s">
        <v>274</v>
      </c>
      <c r="B10" s="8">
        <v>21600</v>
      </c>
    </row>
    <row r="11" spans="1:2" x14ac:dyDescent="0.25">
      <c r="A11" s="63" t="s">
        <v>273</v>
      </c>
      <c r="B11" s="8">
        <v>20400</v>
      </c>
    </row>
    <row r="12" spans="1:2" x14ac:dyDescent="0.25">
      <c r="A12" s="63" t="s">
        <v>275</v>
      </c>
      <c r="B12" s="8">
        <v>20300</v>
      </c>
    </row>
    <row r="13" spans="1:2" x14ac:dyDescent="0.25">
      <c r="A13" s="63" t="s">
        <v>270</v>
      </c>
      <c r="B13" s="8">
        <v>18000</v>
      </c>
    </row>
    <row r="14" spans="1:2" x14ac:dyDescent="0.25">
      <c r="A14" s="63" t="s">
        <v>271</v>
      </c>
      <c r="B14" s="8">
        <v>17850</v>
      </c>
    </row>
    <row r="15" spans="1:2" x14ac:dyDescent="0.25">
      <c r="A15" s="63" t="s">
        <v>242</v>
      </c>
      <c r="B15" s="8">
        <v>17200</v>
      </c>
    </row>
    <row r="16" spans="1:2" x14ac:dyDescent="0.25">
      <c r="A16" s="63" t="s">
        <v>302</v>
      </c>
      <c r="B16" s="8">
        <v>226350</v>
      </c>
    </row>
    <row r="21" spans="1:2" s="87" customFormat="1" x14ac:dyDescent="0.25">
      <c r="A21" s="87" t="s">
        <v>312</v>
      </c>
    </row>
    <row r="22" spans="1:2" x14ac:dyDescent="0.25">
      <c r="A22" s="62" t="s">
        <v>301</v>
      </c>
      <c r="B22" t="s">
        <v>305</v>
      </c>
    </row>
    <row r="23" spans="1:2" x14ac:dyDescent="0.25">
      <c r="A23" s="63" t="s">
        <v>261</v>
      </c>
      <c r="B23" s="8">
        <v>99600</v>
      </c>
    </row>
    <row r="24" spans="1:2" x14ac:dyDescent="0.25">
      <c r="A24" s="63" t="s">
        <v>260</v>
      </c>
      <c r="B24" s="8">
        <v>98900</v>
      </c>
    </row>
    <row r="25" spans="1:2" x14ac:dyDescent="0.25">
      <c r="A25" s="63" t="s">
        <v>263</v>
      </c>
      <c r="B25" s="8">
        <v>93250</v>
      </c>
    </row>
    <row r="26" spans="1:2" x14ac:dyDescent="0.25">
      <c r="A26" s="63" t="s">
        <v>257</v>
      </c>
      <c r="B26" s="8">
        <v>81100</v>
      </c>
    </row>
    <row r="27" spans="1:2" x14ac:dyDescent="0.25">
      <c r="A27" s="63" t="s">
        <v>264</v>
      </c>
      <c r="B27" s="8">
        <v>77950</v>
      </c>
    </row>
    <row r="28" spans="1:2" x14ac:dyDescent="0.25">
      <c r="A28" s="63" t="s">
        <v>258</v>
      </c>
      <c r="B28" s="8">
        <v>67500</v>
      </c>
    </row>
    <row r="29" spans="1:2" x14ac:dyDescent="0.25">
      <c r="A29" s="63" t="s">
        <v>254</v>
      </c>
      <c r="B29" s="8">
        <v>61200</v>
      </c>
    </row>
    <row r="30" spans="1:2" x14ac:dyDescent="0.25">
      <c r="A30" s="63" t="s">
        <v>256</v>
      </c>
      <c r="B30" s="8">
        <v>48300</v>
      </c>
    </row>
    <row r="31" spans="1:2" x14ac:dyDescent="0.25">
      <c r="A31" s="63" t="s">
        <v>255</v>
      </c>
      <c r="B31" s="8">
        <v>45950</v>
      </c>
    </row>
    <row r="32" spans="1:2" x14ac:dyDescent="0.25">
      <c r="A32" s="63" t="s">
        <v>262</v>
      </c>
      <c r="B32" s="8">
        <v>45200</v>
      </c>
    </row>
    <row r="33" spans="1:3" x14ac:dyDescent="0.25">
      <c r="A33" s="63" t="s">
        <v>259</v>
      </c>
      <c r="B33" s="8">
        <v>43450</v>
      </c>
    </row>
    <row r="34" spans="1:3" x14ac:dyDescent="0.25">
      <c r="A34" s="63" t="s">
        <v>253</v>
      </c>
      <c r="B34" s="8">
        <v>36100</v>
      </c>
    </row>
    <row r="35" spans="1:3" x14ac:dyDescent="0.25">
      <c r="A35" s="63" t="s">
        <v>302</v>
      </c>
      <c r="B35" s="8">
        <v>798500</v>
      </c>
    </row>
    <row r="39" spans="1:3" s="87" customFormat="1" x14ac:dyDescent="0.25">
      <c r="A39" s="87" t="s">
        <v>313</v>
      </c>
    </row>
    <row r="40" spans="1:3" x14ac:dyDescent="0.25">
      <c r="A40" s="62" t="s">
        <v>307</v>
      </c>
      <c r="B40" s="62" t="s">
        <v>306</v>
      </c>
    </row>
    <row r="41" spans="1:3" x14ac:dyDescent="0.25">
      <c r="A41" s="62" t="s">
        <v>301</v>
      </c>
      <c r="B41" s="47" t="s">
        <v>271</v>
      </c>
      <c r="C41" s="47" t="s">
        <v>302</v>
      </c>
    </row>
    <row r="42" spans="1:3" x14ac:dyDescent="0.25">
      <c r="A42" s="63" t="s">
        <v>280</v>
      </c>
      <c r="B42" s="8">
        <v>56</v>
      </c>
      <c r="C42" s="8">
        <v>56</v>
      </c>
    </row>
    <row r="43" spans="1:3" x14ac:dyDescent="0.25">
      <c r="A43" s="63" t="s">
        <v>279</v>
      </c>
      <c r="B43" s="8">
        <v>37</v>
      </c>
      <c r="C43" s="8">
        <v>37</v>
      </c>
    </row>
    <row r="44" spans="1:3" x14ac:dyDescent="0.25">
      <c r="A44" s="63" t="s">
        <v>278</v>
      </c>
      <c r="B44" s="8">
        <v>25</v>
      </c>
      <c r="C44" s="8">
        <v>25</v>
      </c>
    </row>
    <row r="45" spans="1:3" x14ac:dyDescent="0.25">
      <c r="A45" s="63" t="s">
        <v>302</v>
      </c>
      <c r="B45" s="8">
        <v>118</v>
      </c>
      <c r="C45" s="8">
        <v>118</v>
      </c>
    </row>
  </sheetData>
  <mergeCells count="3">
    <mergeCell ref="A4:XFD4"/>
    <mergeCell ref="A21:XFD21"/>
    <mergeCell ref="A39:XFD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73928-9655-4AFF-B95F-A7979CD96A90}">
  <dimension ref="A2:E57"/>
  <sheetViews>
    <sheetView topLeftCell="A46" workbookViewId="0">
      <selection activeCell="N52" sqref="N52"/>
    </sheetView>
  </sheetViews>
  <sheetFormatPr defaultRowHeight="15" x14ac:dyDescent="0.25"/>
  <cols>
    <col min="1" max="1" width="13.140625" bestFit="1" customWidth="1"/>
    <col min="2" max="2" width="22.28515625" bestFit="1" customWidth="1"/>
    <col min="3" max="4" width="6.28515625" bestFit="1" customWidth="1"/>
    <col min="5" max="5" width="11.28515625" bestFit="1" customWidth="1"/>
  </cols>
  <sheetData>
    <row r="2" spans="1:2" s="87" customFormat="1" x14ac:dyDescent="0.25">
      <c r="A2" s="87" t="s">
        <v>314</v>
      </c>
    </row>
    <row r="3" spans="1:2" x14ac:dyDescent="0.25">
      <c r="A3" s="62" t="s">
        <v>301</v>
      </c>
      <c r="B3" t="s">
        <v>303</v>
      </c>
    </row>
    <row r="4" spans="1:2" x14ac:dyDescent="0.25">
      <c r="A4" s="63" t="s">
        <v>253</v>
      </c>
      <c r="B4" s="8">
        <v>10400</v>
      </c>
    </row>
    <row r="5" spans="1:2" x14ac:dyDescent="0.25">
      <c r="A5" s="63" t="s">
        <v>254</v>
      </c>
      <c r="B5" s="8">
        <v>17000</v>
      </c>
    </row>
    <row r="6" spans="1:2" x14ac:dyDescent="0.25">
      <c r="A6" s="63" t="s">
        <v>255</v>
      </c>
      <c r="B6" s="8">
        <v>9800</v>
      </c>
    </row>
    <row r="7" spans="1:2" x14ac:dyDescent="0.25">
      <c r="A7" s="63" t="s">
        <v>256</v>
      </c>
      <c r="B7" s="8">
        <v>12250</v>
      </c>
    </row>
    <row r="8" spans="1:2" x14ac:dyDescent="0.25">
      <c r="A8" s="63" t="s">
        <v>257</v>
      </c>
      <c r="B8" s="8">
        <v>22400</v>
      </c>
    </row>
    <row r="9" spans="1:2" x14ac:dyDescent="0.25">
      <c r="A9" s="63" t="s">
        <v>258</v>
      </c>
      <c r="B9" s="8">
        <v>19300</v>
      </c>
    </row>
    <row r="10" spans="1:2" x14ac:dyDescent="0.25">
      <c r="A10" s="63" t="s">
        <v>259</v>
      </c>
      <c r="B10" s="8">
        <v>11500</v>
      </c>
    </row>
    <row r="11" spans="1:2" x14ac:dyDescent="0.25">
      <c r="A11" s="63" t="s">
        <v>260</v>
      </c>
      <c r="B11" s="8">
        <v>26150</v>
      </c>
    </row>
    <row r="12" spans="1:2" x14ac:dyDescent="0.25">
      <c r="A12" s="63" t="s">
        <v>261</v>
      </c>
      <c r="B12" s="8">
        <v>28450</v>
      </c>
    </row>
    <row r="13" spans="1:2" x14ac:dyDescent="0.25">
      <c r="A13" s="63" t="s">
        <v>262</v>
      </c>
      <c r="B13" s="8">
        <v>15550</v>
      </c>
    </row>
    <row r="14" spans="1:2" x14ac:dyDescent="0.25">
      <c r="A14" s="63" t="s">
        <v>263</v>
      </c>
      <c r="B14" s="8">
        <v>30900</v>
      </c>
    </row>
    <row r="15" spans="1:2" x14ac:dyDescent="0.25">
      <c r="A15" s="63" t="s">
        <v>264</v>
      </c>
      <c r="B15" s="8">
        <v>22650</v>
      </c>
    </row>
    <row r="16" spans="1:2" x14ac:dyDescent="0.25">
      <c r="A16" s="63" t="s">
        <v>302</v>
      </c>
      <c r="B16" s="8">
        <v>226350</v>
      </c>
    </row>
    <row r="25" spans="1:5" s="87" customFormat="1" x14ac:dyDescent="0.25">
      <c r="A25" s="87" t="s">
        <v>315</v>
      </c>
    </row>
    <row r="26" spans="1:5" x14ac:dyDescent="0.25">
      <c r="A26" s="62" t="s">
        <v>307</v>
      </c>
      <c r="B26" s="62" t="s">
        <v>306</v>
      </c>
    </row>
    <row r="27" spans="1:5" x14ac:dyDescent="0.25">
      <c r="A27" s="62" t="s">
        <v>301</v>
      </c>
      <c r="B27" s="48" t="s">
        <v>280</v>
      </c>
      <c r="C27" s="48" t="s">
        <v>279</v>
      </c>
      <c r="D27" s="48" t="s">
        <v>278</v>
      </c>
      <c r="E27" s="48" t="s">
        <v>302</v>
      </c>
    </row>
    <row r="28" spans="1:5" x14ac:dyDescent="0.25">
      <c r="A28" s="63" t="s">
        <v>267</v>
      </c>
      <c r="B28" s="8">
        <v>93</v>
      </c>
      <c r="C28" s="8">
        <v>49</v>
      </c>
      <c r="D28" s="8">
        <v>46</v>
      </c>
      <c r="E28" s="8">
        <v>188</v>
      </c>
    </row>
    <row r="29" spans="1:5" x14ac:dyDescent="0.25">
      <c r="A29" s="63" t="s">
        <v>271</v>
      </c>
      <c r="B29" s="8">
        <v>56</v>
      </c>
      <c r="C29" s="8">
        <v>37</v>
      </c>
      <c r="D29" s="8">
        <v>25</v>
      </c>
      <c r="E29" s="8">
        <v>118</v>
      </c>
    </row>
    <row r="30" spans="1:5" x14ac:dyDescent="0.25">
      <c r="A30" s="63" t="s">
        <v>268</v>
      </c>
      <c r="B30" s="8">
        <v>95</v>
      </c>
      <c r="C30" s="8">
        <v>49</v>
      </c>
      <c r="D30" s="8">
        <v>64</v>
      </c>
      <c r="E30" s="8">
        <v>208</v>
      </c>
    </row>
    <row r="31" spans="1:5" x14ac:dyDescent="0.25">
      <c r="A31" s="63" t="s">
        <v>272</v>
      </c>
      <c r="B31" s="8">
        <v>58</v>
      </c>
      <c r="C31" s="8">
        <v>87</v>
      </c>
      <c r="D31" s="8">
        <v>53</v>
      </c>
      <c r="E31" s="8">
        <v>198</v>
      </c>
    </row>
    <row r="32" spans="1:5" x14ac:dyDescent="0.25">
      <c r="A32" s="63" t="s">
        <v>269</v>
      </c>
      <c r="B32" s="8">
        <v>92</v>
      </c>
      <c r="C32" s="8">
        <v>30</v>
      </c>
      <c r="D32" s="8">
        <v>47</v>
      </c>
      <c r="E32" s="8">
        <v>169</v>
      </c>
    </row>
    <row r="33" spans="1:5" x14ac:dyDescent="0.25">
      <c r="A33" s="63" t="s">
        <v>275</v>
      </c>
      <c r="B33" s="8">
        <v>56</v>
      </c>
      <c r="C33" s="8">
        <v>51</v>
      </c>
      <c r="D33" s="8">
        <v>66</v>
      </c>
      <c r="E33" s="8">
        <v>173</v>
      </c>
    </row>
    <row r="34" spans="1:5" x14ac:dyDescent="0.25">
      <c r="A34" s="63" t="s">
        <v>242</v>
      </c>
      <c r="B34" s="8">
        <v>64</v>
      </c>
      <c r="C34" s="8">
        <v>51</v>
      </c>
      <c r="D34" s="8">
        <v>23</v>
      </c>
      <c r="E34" s="8">
        <v>138</v>
      </c>
    </row>
    <row r="35" spans="1:5" x14ac:dyDescent="0.25">
      <c r="A35" s="63" t="s">
        <v>273</v>
      </c>
      <c r="B35" s="8">
        <v>30</v>
      </c>
      <c r="C35" s="8">
        <v>74</v>
      </c>
      <c r="D35" s="8">
        <v>29</v>
      </c>
      <c r="E35" s="8">
        <v>133</v>
      </c>
    </row>
    <row r="36" spans="1:5" x14ac:dyDescent="0.25">
      <c r="A36" s="63" t="s">
        <v>274</v>
      </c>
      <c r="B36" s="8">
        <v>58</v>
      </c>
      <c r="C36" s="8">
        <v>56</v>
      </c>
      <c r="D36" s="8">
        <v>31</v>
      </c>
      <c r="E36" s="8">
        <v>145</v>
      </c>
    </row>
    <row r="37" spans="1:5" x14ac:dyDescent="0.25">
      <c r="A37" s="63" t="s">
        <v>270</v>
      </c>
      <c r="B37" s="8">
        <v>59</v>
      </c>
      <c r="C37" s="8">
        <v>25</v>
      </c>
      <c r="D37" s="8">
        <v>47</v>
      </c>
      <c r="E37" s="8">
        <v>131</v>
      </c>
    </row>
    <row r="38" spans="1:5" x14ac:dyDescent="0.25">
      <c r="A38" s="63" t="s">
        <v>302</v>
      </c>
      <c r="B38" s="8">
        <v>661</v>
      </c>
      <c r="C38" s="8">
        <v>509</v>
      </c>
      <c r="D38" s="8">
        <v>431</v>
      </c>
      <c r="E38" s="8">
        <v>1601</v>
      </c>
    </row>
    <row r="43" spans="1:5" s="87" customFormat="1" x14ac:dyDescent="0.25">
      <c r="A43" s="87" t="s">
        <v>316</v>
      </c>
    </row>
    <row r="44" spans="1:5" x14ac:dyDescent="0.25">
      <c r="A44" s="62" t="s">
        <v>301</v>
      </c>
      <c r="B44" t="s">
        <v>305</v>
      </c>
    </row>
    <row r="45" spans="1:5" x14ac:dyDescent="0.25">
      <c r="A45" s="63" t="s">
        <v>253</v>
      </c>
      <c r="B45" s="8">
        <v>36100</v>
      </c>
    </row>
    <row r="46" spans="1:5" x14ac:dyDescent="0.25">
      <c r="A46" s="63" t="s">
        <v>254</v>
      </c>
      <c r="B46" s="8">
        <v>61200</v>
      </c>
    </row>
    <row r="47" spans="1:5" x14ac:dyDescent="0.25">
      <c r="A47" s="63" t="s">
        <v>255</v>
      </c>
      <c r="B47" s="8">
        <v>45950</v>
      </c>
    </row>
    <row r="48" spans="1:5" x14ac:dyDescent="0.25">
      <c r="A48" s="63" t="s">
        <v>256</v>
      </c>
      <c r="B48" s="8">
        <v>48300</v>
      </c>
    </row>
    <row r="49" spans="1:2" x14ac:dyDescent="0.25">
      <c r="A49" s="63" t="s">
        <v>257</v>
      </c>
      <c r="B49" s="8">
        <v>81100</v>
      </c>
    </row>
    <row r="50" spans="1:2" x14ac:dyDescent="0.25">
      <c r="A50" s="63" t="s">
        <v>258</v>
      </c>
      <c r="B50" s="8">
        <v>67500</v>
      </c>
    </row>
    <row r="51" spans="1:2" x14ac:dyDescent="0.25">
      <c r="A51" s="63" t="s">
        <v>259</v>
      </c>
      <c r="B51" s="8">
        <v>43450</v>
      </c>
    </row>
    <row r="52" spans="1:2" x14ac:dyDescent="0.25">
      <c r="A52" s="63" t="s">
        <v>260</v>
      </c>
      <c r="B52" s="8">
        <v>98900</v>
      </c>
    </row>
    <row r="53" spans="1:2" x14ac:dyDescent="0.25">
      <c r="A53" s="63" t="s">
        <v>261</v>
      </c>
      <c r="B53" s="8">
        <v>99600</v>
      </c>
    </row>
    <row r="54" spans="1:2" x14ac:dyDescent="0.25">
      <c r="A54" s="63" t="s">
        <v>262</v>
      </c>
      <c r="B54" s="8">
        <v>45200</v>
      </c>
    </row>
    <row r="55" spans="1:2" x14ac:dyDescent="0.25">
      <c r="A55" s="63" t="s">
        <v>263</v>
      </c>
      <c r="B55" s="8">
        <v>93250</v>
      </c>
    </row>
    <row r="56" spans="1:2" x14ac:dyDescent="0.25">
      <c r="A56" s="63" t="s">
        <v>264</v>
      </c>
      <c r="B56" s="8">
        <v>77950</v>
      </c>
    </row>
    <row r="57" spans="1:2" x14ac:dyDescent="0.25">
      <c r="A57" s="63" t="s">
        <v>302</v>
      </c>
      <c r="B57" s="8">
        <v>798500</v>
      </c>
    </row>
  </sheetData>
  <mergeCells count="3">
    <mergeCell ref="A2:XFD2"/>
    <mergeCell ref="A25:XFD25"/>
    <mergeCell ref="A43:XFD43"/>
  </mergeCell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B2CEC-9E62-41F9-81F6-4BDB8DD78D3A}">
  <dimension ref="A1:B5"/>
  <sheetViews>
    <sheetView workbookViewId="0">
      <selection activeCell="C7" sqref="C7"/>
    </sheetView>
  </sheetViews>
  <sheetFormatPr defaultRowHeight="15" x14ac:dyDescent="0.25"/>
  <cols>
    <col min="1" max="1" width="13.140625" bestFit="1" customWidth="1"/>
    <col min="2" max="2" width="17.7109375" bestFit="1" customWidth="1"/>
  </cols>
  <sheetData>
    <row r="1" spans="1:2" s="87" customFormat="1" x14ac:dyDescent="0.25">
      <c r="A1" s="87" t="s">
        <v>317</v>
      </c>
    </row>
    <row r="2" spans="1:2" x14ac:dyDescent="0.25">
      <c r="A2" s="62" t="s">
        <v>301</v>
      </c>
      <c r="B2" t="s">
        <v>303</v>
      </c>
    </row>
    <row r="3" spans="1:2" x14ac:dyDescent="0.25">
      <c r="A3" s="63" t="s">
        <v>281</v>
      </c>
      <c r="B3" s="8">
        <v>12400</v>
      </c>
    </row>
    <row r="4" spans="1:2" x14ac:dyDescent="0.25">
      <c r="A4" s="63" t="s">
        <v>284</v>
      </c>
      <c r="B4" s="8">
        <v>8100</v>
      </c>
    </row>
    <row r="5" spans="1:2" x14ac:dyDescent="0.25">
      <c r="A5" s="63" t="s">
        <v>302</v>
      </c>
      <c r="B5" s="8">
        <v>20500</v>
      </c>
    </row>
  </sheetData>
  <mergeCells count="1">
    <mergeCell ref="A1:XF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E9BD3-4DD7-40AE-92AC-2A874EAD5981}">
  <dimension ref="A2:L22"/>
  <sheetViews>
    <sheetView topLeftCell="F1" zoomScaleNormal="100" workbookViewId="0">
      <selection activeCell="L3" sqref="L3"/>
    </sheetView>
  </sheetViews>
  <sheetFormatPr defaultRowHeight="15" x14ac:dyDescent="0.25"/>
  <cols>
    <col min="1" max="1" width="7.5703125" customWidth="1"/>
    <col min="2" max="2" width="18.42578125" bestFit="1" customWidth="1"/>
    <col min="3" max="3" width="7" customWidth="1"/>
    <col min="4" max="4" width="21.5703125" customWidth="1"/>
    <col min="5" max="5" width="14.140625" customWidth="1"/>
    <col min="6" max="6" width="14.85546875" customWidth="1"/>
    <col min="7" max="7" width="12.85546875" bestFit="1" customWidth="1"/>
    <col min="8" max="8" width="18.5703125" bestFit="1" customWidth="1"/>
    <col min="9" max="9" width="19.42578125" bestFit="1" customWidth="1"/>
    <col min="10" max="10" width="14" style="68" bestFit="1" customWidth="1"/>
    <col min="11" max="11" width="19.7109375" bestFit="1" customWidth="1"/>
    <col min="12" max="12" width="24.28515625" style="68" bestFit="1" customWidth="1"/>
  </cols>
  <sheetData>
    <row r="2" spans="1:12" s="49" customFormat="1" x14ac:dyDescent="0.25">
      <c r="A2" s="65" t="s">
        <v>355</v>
      </c>
      <c r="B2" s="65" t="s">
        <v>318</v>
      </c>
      <c r="C2" s="65" t="s">
        <v>319</v>
      </c>
      <c r="D2" s="65" t="s">
        <v>320</v>
      </c>
      <c r="E2" s="65" t="s">
        <v>321</v>
      </c>
      <c r="F2" s="65" t="s">
        <v>322</v>
      </c>
      <c r="G2" s="65" t="s">
        <v>323</v>
      </c>
      <c r="H2" s="67" t="s">
        <v>356</v>
      </c>
      <c r="I2" s="67" t="s">
        <v>181</v>
      </c>
      <c r="J2" s="69" t="s">
        <v>357</v>
      </c>
      <c r="K2" s="67" t="s">
        <v>358</v>
      </c>
      <c r="L2" s="69" t="s">
        <v>359</v>
      </c>
    </row>
    <row r="3" spans="1:12" x14ac:dyDescent="0.25">
      <c r="A3" s="64">
        <v>1</v>
      </c>
      <c r="B3" s="64" t="s">
        <v>324</v>
      </c>
      <c r="C3" s="64">
        <v>19</v>
      </c>
      <c r="D3" s="64">
        <v>39</v>
      </c>
      <c r="E3" s="64">
        <v>3.1</v>
      </c>
      <c r="F3" s="64" t="s">
        <v>325</v>
      </c>
      <c r="G3" s="64" t="s">
        <v>326</v>
      </c>
      <c r="H3" s="66" t="str">
        <f>IF(AND(Table2[[#This Row],[Age]]&gt;19,Table2[[#This Row],[Grade point]]&gt;=2.9,Table2[[#This Row],[Pre-interview score]]&gt;=45),"Hired","Not Hired")</f>
        <v>Not Hired</v>
      </c>
      <c r="I3" s="66" t="str">
        <f>IF(AND(Table2[[#This Row],[Qualification]]="BSC",Table2[[#This Row],[Applicant Status]]="Hired"),"Senior Position",IF(AND(Table2[[#This Row],[Qualification]]&lt;&gt;"BSC",Table2[[#This Row],[Applicant Status]]="Hired"), "Junior Position","-"))</f>
        <v>-</v>
      </c>
      <c r="J3" s="70" t="str" cm="1">
        <f t="array" ref="J3">_xlfn.IFS(Table2[[#This Row],[Position]]="Junior Position",0.6423*500000,Table2[[#This Row],[Position]]="Senior Position",0.8945*500000,Table2[[#This Row],[Position]]="-"," ")</f>
        <v xml:space="preserve"> </v>
      </c>
      <c r="K3" s="71" t="str" cm="1">
        <f t="array" ref="K3">_xlfn.IFS(Table2[[#This Row],[Position]]="Junior Position",Table2[[#This Row],[Salary]]-(0.334*25000),Table2[[#This Row],[Position]]="Senior Position",Table2[[#This Row],[Salary]]-(0.334*25000),Table2[[#This Row],[Position]]="-", " ")</f>
        <v xml:space="preserve"> </v>
      </c>
      <c r="L3" s="70">
        <f>IF(AND(Table2[[#This Row],[Age]]&lt;= 17,Table2[[#This Row],[Applicant Status]]="Not Hired"),2600,IF(AND(Table2[[#This Row],[Age]]&lt;=20,Table2[[#This Row],[Applicant Status]]="Not Hired"),4600,IF(AND(Table2[[#This Row],[Age]]&gt;=20,Table2[[#This Row],[Applicant Status]]="Not Hired"),6600," ")))</f>
        <v>4600</v>
      </c>
    </row>
    <row r="4" spans="1:12" x14ac:dyDescent="0.25">
      <c r="A4" s="64">
        <v>2</v>
      </c>
      <c r="B4" s="64" t="s">
        <v>327</v>
      </c>
      <c r="C4" s="64">
        <v>22</v>
      </c>
      <c r="D4" s="64">
        <v>44</v>
      </c>
      <c r="E4" s="64">
        <v>2.9</v>
      </c>
      <c r="F4" s="64" t="s">
        <v>328</v>
      </c>
      <c r="G4" s="64" t="s">
        <v>329</v>
      </c>
      <c r="H4" s="66" t="str">
        <f>IF(AND(Table2[[#This Row],[Age]]&gt;19,Table2[[#This Row],[Grade point]]&gt;=2.9,Table2[[#This Row],[Pre-interview score]]&gt;=45),"Hired","Not Hired")</f>
        <v>Not Hired</v>
      </c>
      <c r="I4" s="66" t="str">
        <f>IF(AND(Table2[[#This Row],[Qualification]]="BSC",Table2[[#This Row],[Applicant Status]]="Hired"),"Senior Position",IF(AND(Table2[[#This Row],[Qualification]]&lt;&gt;"BSC",Table2[[#This Row],[Applicant Status]]="Hired"), "Junior Position","-"))</f>
        <v>-</v>
      </c>
      <c r="J4" s="70" t="str" cm="1">
        <f t="array" ref="J4">_xlfn.IFS(Table2[[#This Row],[Position]]="Junior Position",0.6423*500000,Table2[[#This Row],[Position]]="Senior Position",0.8945*500000,Table2[[#This Row],[Position]]="-"," ")</f>
        <v xml:space="preserve"> </v>
      </c>
      <c r="K4" s="71" t="str" cm="1">
        <f t="array" ref="K4">_xlfn.IFS(Table2[[#This Row],[Position]]="Junior Position",Table2[[#This Row],[Salary]]-(0.334*25000),Table2[[#This Row],[Position]]="Senior Position",Table2[[#This Row],[Salary]]-(0.334*25000),Table2[[#This Row],[Position]]="-", " ")</f>
        <v xml:space="preserve"> </v>
      </c>
      <c r="L4" s="70">
        <f>IF(AND(Table2[[#This Row],[Age]]&lt;= 17,Table2[[#This Row],[Applicant Status]]="Not Hired"),2600,IF(AND(Table2[[#This Row],[Age]]&lt;=20,Table2[[#This Row],[Applicant Status]]="Not Hired"),4600,IF(AND(Table2[[#This Row],[Age]]&gt;=20,Table2[[#This Row],[Applicant Status]]="Not Hired"),6600," ")))</f>
        <v>6600</v>
      </c>
    </row>
    <row r="5" spans="1:12" x14ac:dyDescent="0.25">
      <c r="A5" s="64">
        <v>3</v>
      </c>
      <c r="B5" s="64" t="s">
        <v>330</v>
      </c>
      <c r="C5" s="64">
        <v>16</v>
      </c>
      <c r="D5" s="64">
        <v>55</v>
      </c>
      <c r="E5" s="64">
        <v>2.8</v>
      </c>
      <c r="F5" s="64" t="s">
        <v>331</v>
      </c>
      <c r="G5" s="64" t="s">
        <v>329</v>
      </c>
      <c r="H5" s="66" t="str">
        <f>IF(AND(Table2[[#This Row],[Age]]&gt;19,Table2[[#This Row],[Grade point]]&gt;=2.9,Table2[[#This Row],[Pre-interview score]]&gt;=45),"Hired","Not Hired")</f>
        <v>Not Hired</v>
      </c>
      <c r="I5" s="66" t="str">
        <f>IF(AND(Table2[[#This Row],[Qualification]]="BSC",Table2[[#This Row],[Applicant Status]]="Hired"),"Senior Position",IF(AND(Table2[[#This Row],[Qualification]]&lt;&gt;"BSC",Table2[[#This Row],[Applicant Status]]="Hired"), "Junior Position","-"))</f>
        <v>-</v>
      </c>
      <c r="J5" s="70" t="str" cm="1">
        <f t="array" ref="J5">_xlfn.IFS(Table2[[#This Row],[Position]]="Junior Position",0.6423*500000,Table2[[#This Row],[Position]]="Senior Position",0.8945*500000,Table2[[#This Row],[Position]]="-"," ")</f>
        <v xml:space="preserve"> </v>
      </c>
      <c r="K5" s="71" t="str" cm="1">
        <f t="array" ref="K5">_xlfn.IFS(Table2[[#This Row],[Position]]="Junior Position",Table2[[#This Row],[Salary]]-(0.334*25000),Table2[[#This Row],[Position]]="Senior Position",Table2[[#This Row],[Salary]]-(0.334*25000),Table2[[#This Row],[Position]]="-", " ")</f>
        <v xml:space="preserve"> </v>
      </c>
      <c r="L5" s="70">
        <f>IF(AND(Table2[[#This Row],[Age]]&lt;= 17,Table2[[#This Row],[Applicant Status]]="Not Hired"),2600,IF(AND(Table2[[#This Row],[Age]]&lt;=20,Table2[[#This Row],[Applicant Status]]="Not Hired"),4600,IF(AND(Table2[[#This Row],[Age]]&gt;=20,Table2[[#This Row],[Applicant Status]]="Not Hired"),6600," ")))</f>
        <v>2600</v>
      </c>
    </row>
    <row r="6" spans="1:12" x14ac:dyDescent="0.25">
      <c r="A6" s="64">
        <v>4</v>
      </c>
      <c r="B6" s="64" t="s">
        <v>332</v>
      </c>
      <c r="C6" s="64">
        <v>21</v>
      </c>
      <c r="D6" s="64">
        <v>90</v>
      </c>
      <c r="E6" s="64">
        <v>3</v>
      </c>
      <c r="F6" s="64" t="s">
        <v>325</v>
      </c>
      <c r="G6" s="64" t="s">
        <v>333</v>
      </c>
      <c r="H6" s="66" t="str">
        <f>IF(AND(Table2[[#This Row],[Age]]&gt;19,Table2[[#This Row],[Grade point]]&gt;=2.9,Table2[[#This Row],[Pre-interview score]]&gt;=45),"Hired","Not Hired")</f>
        <v>Hired</v>
      </c>
      <c r="I6" s="66" t="str">
        <f>IF(AND(Table2[[#This Row],[Qualification]]="BSC",Table2[[#This Row],[Applicant Status]]="Hired"),"Senior Position",IF(AND(Table2[[#This Row],[Qualification]]&lt;&gt;"BSC",Table2[[#This Row],[Applicant Status]]="Hired"), "Junior Position","-"))</f>
        <v>Junior Position</v>
      </c>
      <c r="J6" s="70" cm="1">
        <f t="array" ref="J6">_xlfn.IFS(Table2[[#This Row],[Position]]="Junior Position",0.6423*500000,Table2[[#This Row],[Position]]="Senior Position",0.8945*500000,Table2[[#This Row],[Position]]="-"," ")</f>
        <v>321150</v>
      </c>
      <c r="K6" s="71" cm="1">
        <f t="array" ref="K6">_xlfn.IFS(Table2[[#This Row],[Position]]="Junior Position",Table2[[#This Row],[Salary]]-(0.334*25000),Table2[[#This Row],[Position]]="Senior Position",Table2[[#This Row],[Salary]]-(0.334*25000),Table2[[#This Row],[Position]]="-", " ")</f>
        <v>312800</v>
      </c>
      <c r="L6" s="70" t="str">
        <f>IF(AND(Table2[[#This Row],[Age]]&lt;= 17,Table2[[#This Row],[Applicant Status]]="Not Hired"),2600,IF(AND(Table2[[#This Row],[Age]]&lt;=20,Table2[[#This Row],[Applicant Status]]="Not Hired"),4600,IF(AND(Table2[[#This Row],[Age]]&gt;=20,Table2[[#This Row],[Applicant Status]]="Not Hired"),6600," ")))</f>
        <v xml:space="preserve"> </v>
      </c>
    </row>
    <row r="7" spans="1:12" x14ac:dyDescent="0.25">
      <c r="A7" s="64">
        <v>5</v>
      </c>
      <c r="B7" s="64" t="s">
        <v>334</v>
      </c>
      <c r="C7" s="64">
        <v>19</v>
      </c>
      <c r="D7" s="64">
        <v>40</v>
      </c>
      <c r="E7" s="64">
        <v>4.0999999999999996</v>
      </c>
      <c r="F7" s="64" t="s">
        <v>328</v>
      </c>
      <c r="G7" s="64" t="s">
        <v>335</v>
      </c>
      <c r="H7" s="66" t="str">
        <f>IF(AND(Table2[[#This Row],[Age]]&gt;19,Table2[[#This Row],[Grade point]]&gt;=2.9,Table2[[#This Row],[Pre-interview score]]&gt;=45),"Hired","Not Hired")</f>
        <v>Not Hired</v>
      </c>
      <c r="I7" s="66" t="str">
        <f>IF(AND(Table2[[#This Row],[Qualification]]="BSC",Table2[[#This Row],[Applicant Status]]="Hired"),"Senior Position",IF(AND(Table2[[#This Row],[Qualification]]&lt;&gt;"BSC",Table2[[#This Row],[Applicant Status]]="Hired"), "Junior Position","-"))</f>
        <v>-</v>
      </c>
      <c r="J7" s="70" t="str" cm="1">
        <f t="array" ref="J7">_xlfn.IFS(Table2[[#This Row],[Position]]="Junior Position",0.6423*500000,Table2[[#This Row],[Position]]="Senior Position",0.8945*500000,Table2[[#This Row],[Position]]="-"," ")</f>
        <v xml:space="preserve"> </v>
      </c>
      <c r="K7" s="71" t="str" cm="1">
        <f t="array" ref="K7">_xlfn.IFS(Table2[[#This Row],[Position]]="Junior Position",Table2[[#This Row],[Salary]]-(0.334*25000),Table2[[#This Row],[Position]]="Senior Position",Table2[[#This Row],[Salary]]-(0.334*25000),Table2[[#This Row],[Position]]="-", " ")</f>
        <v xml:space="preserve"> </v>
      </c>
      <c r="L7" s="70">
        <f>IF(AND(Table2[[#This Row],[Age]]&lt;= 17,Table2[[#This Row],[Applicant Status]]="Not Hired"),2600,IF(AND(Table2[[#This Row],[Age]]&lt;=20,Table2[[#This Row],[Applicant Status]]="Not Hired"),4600,IF(AND(Table2[[#This Row],[Age]]&gt;=20,Table2[[#This Row],[Applicant Status]]="Not Hired"),6600," ")))</f>
        <v>4600</v>
      </c>
    </row>
    <row r="8" spans="1:12" x14ac:dyDescent="0.25">
      <c r="A8" s="64">
        <v>6</v>
      </c>
      <c r="B8" s="64" t="s">
        <v>336</v>
      </c>
      <c r="C8" s="64">
        <v>15</v>
      </c>
      <c r="D8" s="64">
        <v>42</v>
      </c>
      <c r="E8" s="64">
        <v>0</v>
      </c>
      <c r="F8" s="64" t="s">
        <v>209</v>
      </c>
      <c r="G8" s="64" t="s">
        <v>333</v>
      </c>
      <c r="H8" s="66" t="str">
        <f>IF(AND(Table2[[#This Row],[Age]]&gt;19,Table2[[#This Row],[Grade point]]&gt;=2.9,Table2[[#This Row],[Pre-interview score]]&gt;=45),"Hired","Not Hired")</f>
        <v>Not Hired</v>
      </c>
      <c r="I8" s="66" t="str">
        <f>IF(AND(Table2[[#This Row],[Qualification]]="BSC",Table2[[#This Row],[Applicant Status]]="Hired"),"Senior Position",IF(AND(Table2[[#This Row],[Qualification]]&lt;&gt;"BSC",Table2[[#This Row],[Applicant Status]]="Hired"), "Junior Position","-"))</f>
        <v>-</v>
      </c>
      <c r="J8" s="70" t="str" cm="1">
        <f t="array" ref="J8">_xlfn.IFS(Table2[[#This Row],[Position]]="Junior Position",0.6423*500000,Table2[[#This Row],[Position]]="Senior Position",0.8945*500000,Table2[[#This Row],[Position]]="-"," ")</f>
        <v xml:space="preserve"> </v>
      </c>
      <c r="K8" s="71" t="str" cm="1">
        <f t="array" ref="K8">_xlfn.IFS(Table2[[#This Row],[Position]]="Junior Position",Table2[[#This Row],[Salary]]-(0.334*25000),Table2[[#This Row],[Position]]="Senior Position",Table2[[#This Row],[Salary]]-(0.334*25000),Table2[[#This Row],[Position]]="-", " ")</f>
        <v xml:space="preserve"> </v>
      </c>
      <c r="L8" s="70">
        <f>IF(AND(Table2[[#This Row],[Age]]&lt;= 17,Table2[[#This Row],[Applicant Status]]="Not Hired"),2600,IF(AND(Table2[[#This Row],[Age]]&lt;=20,Table2[[#This Row],[Applicant Status]]="Not Hired"),4600,IF(AND(Table2[[#This Row],[Age]]&gt;=20,Table2[[#This Row],[Applicant Status]]="Not Hired"),6600," ")))</f>
        <v>2600</v>
      </c>
    </row>
    <row r="9" spans="1:12" x14ac:dyDescent="0.25">
      <c r="A9" s="64">
        <v>7</v>
      </c>
      <c r="B9" s="64" t="s">
        <v>337</v>
      </c>
      <c r="C9" s="64">
        <v>22</v>
      </c>
      <c r="D9" s="64">
        <v>49</v>
      </c>
      <c r="E9" s="64">
        <v>3.8</v>
      </c>
      <c r="F9" s="64" t="s">
        <v>331</v>
      </c>
      <c r="G9" s="64" t="s">
        <v>333</v>
      </c>
      <c r="H9" s="66" t="str">
        <f>IF(AND(Table2[[#This Row],[Age]]&gt;19,Table2[[#This Row],[Grade point]]&gt;=2.9,Table2[[#This Row],[Pre-interview score]]&gt;=45),"Hired","Not Hired")</f>
        <v>Hired</v>
      </c>
      <c r="I9" s="66" t="str">
        <f>IF(AND(Table2[[#This Row],[Qualification]]="BSC",Table2[[#This Row],[Applicant Status]]="Hired"),"Senior Position",IF(AND(Table2[[#This Row],[Qualification]]&lt;&gt;"BSC",Table2[[#This Row],[Applicant Status]]="Hired"), "Junior Position","-"))</f>
        <v>Senior Position</v>
      </c>
      <c r="J9" s="70" cm="1">
        <f t="array" ref="J9">_xlfn.IFS(Table2[[#This Row],[Position]]="Junior Position",0.6423*500000,Table2[[#This Row],[Position]]="Senior Position",0.8945*500000,Table2[[#This Row],[Position]]="-"," ")</f>
        <v>447250</v>
      </c>
      <c r="K9" s="71" cm="1">
        <f t="array" ref="K9">_xlfn.IFS(Table2[[#This Row],[Position]]="Junior Position",Table2[[#This Row],[Salary]]-(0.334*25000),Table2[[#This Row],[Position]]="Senior Position",Table2[[#This Row],[Salary]]-(0.334*25000),Table2[[#This Row],[Position]]="-", " ")</f>
        <v>438900</v>
      </c>
      <c r="L9" s="70" t="str">
        <f>IF(AND(Table2[[#This Row],[Age]]&lt;= 17,Table2[[#This Row],[Applicant Status]]="Not Hired"),2600,IF(AND(Table2[[#This Row],[Age]]&lt;=20,Table2[[#This Row],[Applicant Status]]="Not Hired"),4600,IF(AND(Table2[[#This Row],[Age]]&gt;=20,Table2[[#This Row],[Applicant Status]]="Not Hired"),6600," ")))</f>
        <v xml:space="preserve"> </v>
      </c>
    </row>
    <row r="10" spans="1:12" x14ac:dyDescent="0.25">
      <c r="A10" s="64">
        <v>8</v>
      </c>
      <c r="B10" s="64" t="s">
        <v>338</v>
      </c>
      <c r="C10" s="64">
        <v>23</v>
      </c>
      <c r="D10" s="64">
        <v>46</v>
      </c>
      <c r="E10" s="64">
        <v>5</v>
      </c>
      <c r="F10" s="64" t="s">
        <v>331</v>
      </c>
      <c r="G10" s="64" t="s">
        <v>329</v>
      </c>
      <c r="H10" s="66" t="str">
        <f>IF(AND(Table2[[#This Row],[Age]]&gt;19,Table2[[#This Row],[Grade point]]&gt;=2.9,Table2[[#This Row],[Pre-interview score]]&gt;=45),"Hired","Not Hired")</f>
        <v>Hired</v>
      </c>
      <c r="I10" s="66" t="str">
        <f>IF(AND(Table2[[#This Row],[Qualification]]="BSC",Table2[[#This Row],[Applicant Status]]="Hired"),"Senior Position",IF(AND(Table2[[#This Row],[Qualification]]&lt;&gt;"BSC",Table2[[#This Row],[Applicant Status]]="Hired"), "Junior Position","-"))</f>
        <v>Senior Position</v>
      </c>
      <c r="J10" s="70" cm="1">
        <f t="array" ref="J10">_xlfn.IFS(Table2[[#This Row],[Position]]="Junior Position",0.6423*500000,Table2[[#This Row],[Position]]="Senior Position",0.8945*500000,Table2[[#This Row],[Position]]="-"," ")</f>
        <v>447250</v>
      </c>
      <c r="K10" s="71" cm="1">
        <f t="array" ref="K10">_xlfn.IFS(Table2[[#This Row],[Position]]="Junior Position",Table2[[#This Row],[Salary]]-(0.334*25000),Table2[[#This Row],[Position]]="Senior Position",Table2[[#This Row],[Salary]]-(0.334*25000),Table2[[#This Row],[Position]]="-", " ")</f>
        <v>438900</v>
      </c>
      <c r="L10" s="70" t="str">
        <f>IF(AND(Table2[[#This Row],[Age]]&lt;= 17,Table2[[#This Row],[Applicant Status]]="Not Hired"),2600,IF(AND(Table2[[#This Row],[Age]]&lt;=20,Table2[[#This Row],[Applicant Status]]="Not Hired"),4600,IF(AND(Table2[[#This Row],[Age]]&gt;=20,Table2[[#This Row],[Applicant Status]]="Not Hired"),6600," ")))</f>
        <v xml:space="preserve"> </v>
      </c>
    </row>
    <row r="11" spans="1:12" x14ac:dyDescent="0.25">
      <c r="A11" s="64">
        <v>9</v>
      </c>
      <c r="B11" s="64" t="s">
        <v>339</v>
      </c>
      <c r="C11" s="64">
        <v>26</v>
      </c>
      <c r="D11" s="64">
        <v>56</v>
      </c>
      <c r="E11" s="64">
        <v>3.9</v>
      </c>
      <c r="F11" s="64" t="s">
        <v>331</v>
      </c>
      <c r="G11" s="64" t="s">
        <v>340</v>
      </c>
      <c r="H11" s="66" t="str">
        <f>IF(AND(Table2[[#This Row],[Age]]&gt;19,Table2[[#This Row],[Grade point]]&gt;=2.9,Table2[[#This Row],[Pre-interview score]]&gt;=45),"Hired","Not Hired")</f>
        <v>Hired</v>
      </c>
      <c r="I11" s="66" t="str">
        <f>IF(AND(Table2[[#This Row],[Qualification]]="BSC",Table2[[#This Row],[Applicant Status]]="Hired"),"Senior Position",IF(AND(Table2[[#This Row],[Qualification]]&lt;&gt;"BSC",Table2[[#This Row],[Applicant Status]]="Hired"), "Junior Position","-"))</f>
        <v>Senior Position</v>
      </c>
      <c r="J11" s="70" cm="1">
        <f t="array" ref="J11">_xlfn.IFS(Table2[[#This Row],[Position]]="Junior Position",0.6423*500000,Table2[[#This Row],[Position]]="Senior Position",0.8945*500000,Table2[[#This Row],[Position]]="-"," ")</f>
        <v>447250</v>
      </c>
      <c r="K11" s="71" cm="1">
        <f t="array" ref="K11">_xlfn.IFS(Table2[[#This Row],[Position]]="Junior Position",Table2[[#This Row],[Salary]]-(0.334*25000),Table2[[#This Row],[Position]]="Senior Position",Table2[[#This Row],[Salary]]-(0.334*25000),Table2[[#This Row],[Position]]="-", " ")</f>
        <v>438900</v>
      </c>
      <c r="L11" s="70" t="str">
        <f>IF(AND(Table2[[#This Row],[Age]]&lt;= 17,Table2[[#This Row],[Applicant Status]]="Not Hired"),2600,IF(AND(Table2[[#This Row],[Age]]&lt;=20,Table2[[#This Row],[Applicant Status]]="Not Hired"),4600,IF(AND(Table2[[#This Row],[Age]]&gt;=20,Table2[[#This Row],[Applicant Status]]="Not Hired"),6600," ")))</f>
        <v xml:space="preserve"> </v>
      </c>
    </row>
    <row r="12" spans="1:12" x14ac:dyDescent="0.25">
      <c r="A12" s="64">
        <v>10</v>
      </c>
      <c r="B12" s="64" t="s">
        <v>341</v>
      </c>
      <c r="C12" s="64">
        <v>28</v>
      </c>
      <c r="D12" s="64">
        <v>88</v>
      </c>
      <c r="E12" s="64">
        <v>2.92</v>
      </c>
      <c r="F12" s="64" t="s">
        <v>328</v>
      </c>
      <c r="G12" s="64" t="s">
        <v>329</v>
      </c>
      <c r="H12" s="66" t="str">
        <f>IF(AND(Table2[[#This Row],[Age]]&gt;19,Table2[[#This Row],[Grade point]]&gt;=2.9,Table2[[#This Row],[Pre-interview score]]&gt;=45),"Hired","Not Hired")</f>
        <v>Hired</v>
      </c>
      <c r="I12" s="66" t="str">
        <f>IF(AND(Table2[[#This Row],[Qualification]]="BSC",Table2[[#This Row],[Applicant Status]]="Hired"),"Senior Position",IF(AND(Table2[[#This Row],[Qualification]]&lt;&gt;"BSC",Table2[[#This Row],[Applicant Status]]="Hired"), "Junior Position","-"))</f>
        <v>Junior Position</v>
      </c>
      <c r="J12" s="70" cm="1">
        <f t="array" ref="J12">_xlfn.IFS(Table2[[#This Row],[Position]]="Junior Position",0.6423*500000,Table2[[#This Row],[Position]]="Senior Position",0.8945*500000,Table2[[#This Row],[Position]]="-"," ")</f>
        <v>321150</v>
      </c>
      <c r="K12" s="71" cm="1">
        <f t="array" ref="K12">_xlfn.IFS(Table2[[#This Row],[Position]]="Junior Position",Table2[[#This Row],[Salary]]-(0.334*25000),Table2[[#This Row],[Position]]="Senior Position",Table2[[#This Row],[Salary]]-(0.334*25000),Table2[[#This Row],[Position]]="-", " ")</f>
        <v>312800</v>
      </c>
      <c r="L12" s="70" t="str">
        <f>IF(AND(Table2[[#This Row],[Age]]&lt;= 17,Table2[[#This Row],[Applicant Status]]="Not Hired"),2600,IF(AND(Table2[[#This Row],[Age]]&lt;=20,Table2[[#This Row],[Applicant Status]]="Not Hired"),4600,IF(AND(Table2[[#This Row],[Age]]&gt;=20,Table2[[#This Row],[Applicant Status]]="Not Hired"),6600," ")))</f>
        <v xml:space="preserve"> </v>
      </c>
    </row>
    <row r="13" spans="1:12" x14ac:dyDescent="0.25">
      <c r="A13" s="64">
        <v>11</v>
      </c>
      <c r="B13" s="64" t="s">
        <v>342</v>
      </c>
      <c r="C13" s="64">
        <v>41</v>
      </c>
      <c r="D13" s="64">
        <v>89</v>
      </c>
      <c r="E13" s="64">
        <v>4.3</v>
      </c>
      <c r="F13" s="64" t="s">
        <v>331</v>
      </c>
      <c r="G13" s="64" t="s">
        <v>329</v>
      </c>
      <c r="H13" s="66" t="str">
        <f>IF(AND(Table2[[#This Row],[Age]]&gt;19,Table2[[#This Row],[Grade point]]&gt;=2.9,Table2[[#This Row],[Pre-interview score]]&gt;=45),"Hired","Not Hired")</f>
        <v>Hired</v>
      </c>
      <c r="I13" s="66" t="str">
        <f>IF(AND(Table2[[#This Row],[Qualification]]="BSC",Table2[[#This Row],[Applicant Status]]="Hired"),"Senior Position",IF(AND(Table2[[#This Row],[Qualification]]&lt;&gt;"BSC",Table2[[#This Row],[Applicant Status]]="Hired"), "Junior Position","-"))</f>
        <v>Senior Position</v>
      </c>
      <c r="J13" s="70" cm="1">
        <f t="array" ref="J13">_xlfn.IFS(Table2[[#This Row],[Position]]="Junior Position",0.6423*500000,Table2[[#This Row],[Position]]="Senior Position",0.8945*500000,Table2[[#This Row],[Position]]="-"," ")</f>
        <v>447250</v>
      </c>
      <c r="K13" s="71" cm="1">
        <f t="array" ref="K13">_xlfn.IFS(Table2[[#This Row],[Position]]="Junior Position",Table2[[#This Row],[Salary]]-(0.334*25000),Table2[[#This Row],[Position]]="Senior Position",Table2[[#This Row],[Salary]]-(0.334*25000),Table2[[#This Row],[Position]]="-", " ")</f>
        <v>438900</v>
      </c>
      <c r="L13" s="70" t="str">
        <f>IF(AND(Table2[[#This Row],[Age]]&lt;= 17,Table2[[#This Row],[Applicant Status]]="Not Hired"),2600,IF(AND(Table2[[#This Row],[Age]]&lt;=20,Table2[[#This Row],[Applicant Status]]="Not Hired"),4600,IF(AND(Table2[[#This Row],[Age]]&gt;=20,Table2[[#This Row],[Applicant Status]]="Not Hired"),6600," ")))</f>
        <v xml:space="preserve"> </v>
      </c>
    </row>
    <row r="14" spans="1:12" x14ac:dyDescent="0.25">
      <c r="A14" s="64">
        <v>12</v>
      </c>
      <c r="B14" s="64" t="s">
        <v>343</v>
      </c>
      <c r="C14" s="64">
        <v>18</v>
      </c>
      <c r="D14" s="64">
        <v>22</v>
      </c>
      <c r="E14" s="64">
        <v>3.1</v>
      </c>
      <c r="F14" s="64" t="s">
        <v>325</v>
      </c>
      <c r="G14" s="64" t="s">
        <v>326</v>
      </c>
      <c r="H14" s="66" t="str">
        <f>IF(AND(Table2[[#This Row],[Age]]&gt;19,Table2[[#This Row],[Grade point]]&gt;=2.9,Table2[[#This Row],[Pre-interview score]]&gt;=45),"Hired","Not Hired")</f>
        <v>Not Hired</v>
      </c>
      <c r="I14" s="66" t="str">
        <f>IF(AND(Table2[[#This Row],[Qualification]]="BSC",Table2[[#This Row],[Applicant Status]]="Hired"),"Senior Position",IF(AND(Table2[[#This Row],[Qualification]]&lt;&gt;"BSC",Table2[[#This Row],[Applicant Status]]="Hired"), "Junior Position","-"))</f>
        <v>-</v>
      </c>
      <c r="J14" s="70" t="str" cm="1">
        <f t="array" ref="J14">_xlfn.IFS(Table2[[#This Row],[Position]]="Junior Position",0.6423*500000,Table2[[#This Row],[Position]]="Senior Position",0.8945*500000,Table2[[#This Row],[Position]]="-"," ")</f>
        <v xml:space="preserve"> </v>
      </c>
      <c r="K14" s="71" t="str" cm="1">
        <f t="array" ref="K14">_xlfn.IFS(Table2[[#This Row],[Position]]="Junior Position",Table2[[#This Row],[Salary]]-(0.334*25000),Table2[[#This Row],[Position]]="Senior Position",Table2[[#This Row],[Salary]]-(0.334*25000),Table2[[#This Row],[Position]]="-", " ")</f>
        <v xml:space="preserve"> </v>
      </c>
      <c r="L14" s="70">
        <f>IF(AND(Table2[[#This Row],[Age]]&lt;= 17,Table2[[#This Row],[Applicant Status]]="Not Hired"),2600,IF(AND(Table2[[#This Row],[Age]]&lt;=20,Table2[[#This Row],[Applicant Status]]="Not Hired"),4600,IF(AND(Table2[[#This Row],[Age]]&gt;=20,Table2[[#This Row],[Applicant Status]]="Not Hired"),6600," ")))</f>
        <v>4600</v>
      </c>
    </row>
    <row r="15" spans="1:12" x14ac:dyDescent="0.25">
      <c r="A15" s="64">
        <v>13</v>
      </c>
      <c r="B15" s="64" t="s">
        <v>344</v>
      </c>
      <c r="C15" s="64">
        <v>20</v>
      </c>
      <c r="D15" s="64">
        <v>48</v>
      </c>
      <c r="E15" s="64">
        <v>3.8</v>
      </c>
      <c r="F15" s="64" t="s">
        <v>331</v>
      </c>
      <c r="G15" s="64" t="s">
        <v>329</v>
      </c>
      <c r="H15" s="66" t="str">
        <f>IF(AND(Table2[[#This Row],[Age]]&gt;19,Table2[[#This Row],[Grade point]]&gt;=2.9,Table2[[#This Row],[Pre-interview score]]&gt;=45),"Hired","Not Hired")</f>
        <v>Hired</v>
      </c>
      <c r="I15" s="66" t="str">
        <f>IF(AND(Table2[[#This Row],[Qualification]]="BSC",Table2[[#This Row],[Applicant Status]]="Hired"),"Senior Position",IF(AND(Table2[[#This Row],[Qualification]]&lt;&gt;"BSC",Table2[[#This Row],[Applicant Status]]="Hired"), "Junior Position","-"))</f>
        <v>Senior Position</v>
      </c>
      <c r="J15" s="70" cm="1">
        <f t="array" ref="J15">_xlfn.IFS(Table2[[#This Row],[Position]]="Junior Position",0.6423*500000,Table2[[#This Row],[Position]]="Senior Position",0.8945*500000,Table2[[#This Row],[Position]]="-"," ")</f>
        <v>447250</v>
      </c>
      <c r="K15" s="71" cm="1">
        <f t="array" ref="K15">_xlfn.IFS(Table2[[#This Row],[Position]]="Junior Position",Table2[[#This Row],[Salary]]-(0.334*25000),Table2[[#This Row],[Position]]="Senior Position",Table2[[#This Row],[Salary]]-(0.334*25000),Table2[[#This Row],[Position]]="-", " ")</f>
        <v>438900</v>
      </c>
      <c r="L15" s="70" t="str">
        <f>IF(AND(Table2[[#This Row],[Age]]&lt;= 17,Table2[[#This Row],[Applicant Status]]="Not Hired"),2600,IF(AND(Table2[[#This Row],[Age]]&lt;=20,Table2[[#This Row],[Applicant Status]]="Not Hired"),4600,IF(AND(Table2[[#This Row],[Age]]&gt;=20,Table2[[#This Row],[Applicant Status]]="Not Hired"),6600," ")))</f>
        <v xml:space="preserve"> </v>
      </c>
    </row>
    <row r="16" spans="1:12" x14ac:dyDescent="0.25">
      <c r="A16" s="64">
        <v>14</v>
      </c>
      <c r="B16" s="64" t="s">
        <v>345</v>
      </c>
      <c r="C16" s="64">
        <v>25</v>
      </c>
      <c r="D16" s="64">
        <v>51</v>
      </c>
      <c r="E16" s="64">
        <v>3.1</v>
      </c>
      <c r="F16" s="64" t="s">
        <v>328</v>
      </c>
      <c r="G16" s="64" t="s">
        <v>346</v>
      </c>
      <c r="H16" s="66" t="str">
        <f>IF(AND(Table2[[#This Row],[Age]]&gt;19,Table2[[#This Row],[Grade point]]&gt;=2.9,Table2[[#This Row],[Pre-interview score]]&gt;=45),"Hired","Not Hired")</f>
        <v>Hired</v>
      </c>
      <c r="I16" s="66" t="str">
        <f>IF(AND(Table2[[#This Row],[Qualification]]="BSC",Table2[[#This Row],[Applicant Status]]="Hired"),"Senior Position",IF(AND(Table2[[#This Row],[Qualification]]&lt;&gt;"BSC",Table2[[#This Row],[Applicant Status]]="Hired"), "Junior Position","-"))</f>
        <v>Junior Position</v>
      </c>
      <c r="J16" s="70" cm="1">
        <f t="array" ref="J16">_xlfn.IFS(Table2[[#This Row],[Position]]="Junior Position",0.6423*500000,Table2[[#This Row],[Position]]="Senior Position",0.8945*500000,Table2[[#This Row],[Position]]="-"," ")</f>
        <v>321150</v>
      </c>
      <c r="K16" s="71" cm="1">
        <f t="array" ref="K16">_xlfn.IFS(Table2[[#This Row],[Position]]="Junior Position",Table2[[#This Row],[Salary]]-(0.334*25000),Table2[[#This Row],[Position]]="Senior Position",Table2[[#This Row],[Salary]]-(0.334*25000),Table2[[#This Row],[Position]]="-", " ")</f>
        <v>312800</v>
      </c>
      <c r="L16" s="70" t="str">
        <f>IF(AND(Table2[[#This Row],[Age]]&lt;= 17,Table2[[#This Row],[Applicant Status]]="Not Hired"),2600,IF(AND(Table2[[#This Row],[Age]]&lt;=20,Table2[[#This Row],[Applicant Status]]="Not Hired"),4600,IF(AND(Table2[[#This Row],[Age]]&gt;=20,Table2[[#This Row],[Applicant Status]]="Not Hired"),6600," ")))</f>
        <v xml:space="preserve"> </v>
      </c>
    </row>
    <row r="17" spans="1:12" x14ac:dyDescent="0.25">
      <c r="A17" s="64">
        <v>15</v>
      </c>
      <c r="B17" s="64" t="s">
        <v>347</v>
      </c>
      <c r="C17" s="64">
        <v>27</v>
      </c>
      <c r="D17" s="64">
        <v>62</v>
      </c>
      <c r="E17" s="64">
        <v>3.3</v>
      </c>
      <c r="F17" s="64" t="s">
        <v>331</v>
      </c>
      <c r="G17" s="64" t="s">
        <v>348</v>
      </c>
      <c r="H17" s="66" t="str">
        <f>IF(AND(Table2[[#This Row],[Age]]&gt;19,Table2[[#This Row],[Grade point]]&gt;=2.9,Table2[[#This Row],[Pre-interview score]]&gt;=45),"Hired","Not Hired")</f>
        <v>Hired</v>
      </c>
      <c r="I17" s="66" t="str">
        <f>IF(AND(Table2[[#This Row],[Qualification]]="BSC",Table2[[#This Row],[Applicant Status]]="Hired"),"Senior Position",IF(AND(Table2[[#This Row],[Qualification]]&lt;&gt;"BSC",Table2[[#This Row],[Applicant Status]]="Hired"), "Junior Position","-"))</f>
        <v>Senior Position</v>
      </c>
      <c r="J17" s="70" cm="1">
        <f t="array" ref="J17">_xlfn.IFS(Table2[[#This Row],[Position]]="Junior Position",0.6423*500000,Table2[[#This Row],[Position]]="Senior Position",0.8945*500000,Table2[[#This Row],[Position]]="-"," ")</f>
        <v>447250</v>
      </c>
      <c r="K17" s="71" cm="1">
        <f t="array" ref="K17">_xlfn.IFS(Table2[[#This Row],[Position]]="Junior Position",Table2[[#This Row],[Salary]]-(0.334*25000),Table2[[#This Row],[Position]]="Senior Position",Table2[[#This Row],[Salary]]-(0.334*25000),Table2[[#This Row],[Position]]="-", " ")</f>
        <v>438900</v>
      </c>
      <c r="L17" s="70" t="str">
        <f>IF(AND(Table2[[#This Row],[Age]]&lt;= 17,Table2[[#This Row],[Applicant Status]]="Not Hired"),2600,IF(AND(Table2[[#This Row],[Age]]&lt;=20,Table2[[#This Row],[Applicant Status]]="Not Hired"),4600,IF(AND(Table2[[#This Row],[Age]]&gt;=20,Table2[[#This Row],[Applicant Status]]="Not Hired"),6600," ")))</f>
        <v xml:space="preserve"> </v>
      </c>
    </row>
    <row r="18" spans="1:12" x14ac:dyDescent="0.25">
      <c r="A18" s="64">
        <v>16</v>
      </c>
      <c r="B18" s="64" t="s">
        <v>349</v>
      </c>
      <c r="C18" s="64">
        <v>21</v>
      </c>
      <c r="D18" s="64">
        <v>59</v>
      </c>
      <c r="E18" s="64">
        <v>1.2</v>
      </c>
      <c r="F18" s="64" t="s">
        <v>328</v>
      </c>
      <c r="G18" s="64" t="s">
        <v>350</v>
      </c>
      <c r="H18" s="66" t="str">
        <f>IF(AND(Table2[[#This Row],[Age]]&gt;19,Table2[[#This Row],[Grade point]]&gt;=2.9,Table2[[#This Row],[Pre-interview score]]&gt;=45),"Hired","Not Hired")</f>
        <v>Not Hired</v>
      </c>
      <c r="I18" s="66" t="str">
        <f>IF(AND(Table2[[#This Row],[Qualification]]="BSC",Table2[[#This Row],[Applicant Status]]="Hired"),"Senior Position",IF(AND(Table2[[#This Row],[Qualification]]&lt;&gt;"BSC",Table2[[#This Row],[Applicant Status]]="Hired"), "Junior Position","-"))</f>
        <v>-</v>
      </c>
      <c r="J18" s="70" t="str" cm="1">
        <f t="array" ref="J18">_xlfn.IFS(Table2[[#This Row],[Position]]="Junior Position",0.6423*500000,Table2[[#This Row],[Position]]="Senior Position",0.8945*500000,Table2[[#This Row],[Position]]="-"," ")</f>
        <v xml:space="preserve"> </v>
      </c>
      <c r="K18" s="71" t="str" cm="1">
        <f t="array" ref="K18">_xlfn.IFS(Table2[[#This Row],[Position]]="Junior Position",Table2[[#This Row],[Salary]]-(0.334*25000),Table2[[#This Row],[Position]]="Senior Position",Table2[[#This Row],[Salary]]-(0.334*25000),Table2[[#This Row],[Position]]="-", " ")</f>
        <v xml:space="preserve"> </v>
      </c>
      <c r="L18" s="70">
        <f>IF(AND(Table2[[#This Row],[Age]]&lt;= 17,Table2[[#This Row],[Applicant Status]]="Not Hired"),2600,IF(AND(Table2[[#This Row],[Age]]&lt;=20,Table2[[#This Row],[Applicant Status]]="Not Hired"),4600,IF(AND(Table2[[#This Row],[Age]]&gt;=20,Table2[[#This Row],[Applicant Status]]="Not Hired"),6600," ")))</f>
        <v>6600</v>
      </c>
    </row>
    <row r="19" spans="1:12" x14ac:dyDescent="0.25">
      <c r="A19" s="64">
        <v>17</v>
      </c>
      <c r="B19" s="64" t="s">
        <v>351</v>
      </c>
      <c r="C19" s="64">
        <v>17</v>
      </c>
      <c r="D19" s="64">
        <v>29</v>
      </c>
      <c r="E19" s="64">
        <v>5</v>
      </c>
      <c r="F19" s="64" t="s">
        <v>331</v>
      </c>
      <c r="G19" s="64" t="s">
        <v>350</v>
      </c>
      <c r="H19" s="66" t="str">
        <f>IF(AND(Table2[[#This Row],[Age]]&gt;19,Table2[[#This Row],[Grade point]]&gt;=2.9,Table2[[#This Row],[Pre-interview score]]&gt;=45),"Hired","Not Hired")</f>
        <v>Not Hired</v>
      </c>
      <c r="I19" s="66" t="str">
        <f>IF(AND(Table2[[#This Row],[Qualification]]="BSC",Table2[[#This Row],[Applicant Status]]="Hired"),"Senior Position",IF(AND(Table2[[#This Row],[Qualification]]&lt;&gt;"BSC",Table2[[#This Row],[Applicant Status]]="Hired"), "Junior Position","-"))</f>
        <v>-</v>
      </c>
      <c r="J19" s="70" t="str" cm="1">
        <f t="array" ref="J19">_xlfn.IFS(Table2[[#This Row],[Position]]="Junior Position",0.6423*500000,Table2[[#This Row],[Position]]="Senior Position",0.8945*500000,Table2[[#This Row],[Position]]="-"," ")</f>
        <v xml:space="preserve"> </v>
      </c>
      <c r="K19" s="71" t="str" cm="1">
        <f t="array" ref="K19">_xlfn.IFS(Table2[[#This Row],[Position]]="Junior Position",Table2[[#This Row],[Salary]]-(0.334*25000),Table2[[#This Row],[Position]]="Senior Position",Table2[[#This Row],[Salary]]-(0.334*25000),Table2[[#This Row],[Position]]="-", " ")</f>
        <v xml:space="preserve"> </v>
      </c>
      <c r="L19" s="70">
        <f>IF(AND(Table2[[#This Row],[Age]]&lt;= 17,Table2[[#This Row],[Applicant Status]]="Not Hired"),2600,IF(AND(Table2[[#This Row],[Age]]&lt;=20,Table2[[#This Row],[Applicant Status]]="Not Hired"),4600,IF(AND(Table2[[#This Row],[Age]]&gt;=20,Table2[[#This Row],[Applicant Status]]="Not Hired"),6600," ")))</f>
        <v>2600</v>
      </c>
    </row>
    <row r="20" spans="1:12" x14ac:dyDescent="0.25">
      <c r="A20" s="64">
        <v>18</v>
      </c>
      <c r="B20" s="64" t="s">
        <v>352</v>
      </c>
      <c r="C20" s="64">
        <v>20</v>
      </c>
      <c r="D20" s="64">
        <v>81</v>
      </c>
      <c r="E20" s="64">
        <v>4.4000000000000004</v>
      </c>
      <c r="F20" s="64" t="s">
        <v>325</v>
      </c>
      <c r="G20" s="64" t="s">
        <v>329</v>
      </c>
      <c r="H20" s="66" t="str">
        <f>IF(AND(Table2[[#This Row],[Age]]&gt;19,Table2[[#This Row],[Grade point]]&gt;=2.9,Table2[[#This Row],[Pre-interview score]]&gt;=45),"Hired","Not Hired")</f>
        <v>Hired</v>
      </c>
      <c r="I20" s="66" t="str">
        <f>IF(AND(Table2[[#This Row],[Qualification]]="BSC",Table2[[#This Row],[Applicant Status]]="Hired"),"Senior Position",IF(AND(Table2[[#This Row],[Qualification]]&lt;&gt;"BSC",Table2[[#This Row],[Applicant Status]]="Hired"), "Junior Position","-"))</f>
        <v>Junior Position</v>
      </c>
      <c r="J20" s="70" cm="1">
        <f t="array" ref="J20">_xlfn.IFS(Table2[[#This Row],[Position]]="Junior Position",0.6423*500000,Table2[[#This Row],[Position]]="Senior Position",0.8945*500000,Table2[[#This Row],[Position]]="-"," ")</f>
        <v>321150</v>
      </c>
      <c r="K20" s="71" cm="1">
        <f t="array" ref="K20">_xlfn.IFS(Table2[[#This Row],[Position]]="Junior Position",Table2[[#This Row],[Salary]]-(0.334*25000),Table2[[#This Row],[Position]]="Senior Position",Table2[[#This Row],[Salary]]-(0.334*25000),Table2[[#This Row],[Position]]="-", " ")</f>
        <v>312800</v>
      </c>
      <c r="L20" s="70" t="str">
        <f>IF(AND(Table2[[#This Row],[Age]]&lt;= 17,Table2[[#This Row],[Applicant Status]]="Not Hired"),2600,IF(AND(Table2[[#This Row],[Age]]&lt;=20,Table2[[#This Row],[Applicant Status]]="Not Hired"),4600,IF(AND(Table2[[#This Row],[Age]]&gt;=20,Table2[[#This Row],[Applicant Status]]="Not Hired"),6600," ")))</f>
        <v xml:space="preserve"> </v>
      </c>
    </row>
    <row r="21" spans="1:12" x14ac:dyDescent="0.25">
      <c r="A21" s="64">
        <v>19</v>
      </c>
      <c r="B21" s="64" t="s">
        <v>353</v>
      </c>
      <c r="C21" s="64">
        <v>22</v>
      </c>
      <c r="D21" s="64">
        <v>92</v>
      </c>
      <c r="E21" s="64">
        <v>4.7</v>
      </c>
      <c r="F21" s="64" t="s">
        <v>328</v>
      </c>
      <c r="G21" s="64" t="s">
        <v>333</v>
      </c>
      <c r="H21" s="66" t="str">
        <f>IF(AND(Table2[[#This Row],[Age]]&gt;19,Table2[[#This Row],[Grade point]]&gt;=2.9,Table2[[#This Row],[Pre-interview score]]&gt;=45),"Hired","Not Hired")</f>
        <v>Hired</v>
      </c>
      <c r="I21" s="66" t="str">
        <f>IF(AND(Table2[[#This Row],[Qualification]]="BSC",Table2[[#This Row],[Applicant Status]]="Hired"),"Senior Position",IF(AND(Table2[[#This Row],[Qualification]]&lt;&gt;"BSC",Table2[[#This Row],[Applicant Status]]="Hired"), "Junior Position","-"))</f>
        <v>Junior Position</v>
      </c>
      <c r="J21" s="70" cm="1">
        <f t="array" ref="J21">_xlfn.IFS(Table2[[#This Row],[Position]]="Junior Position",0.6423*500000,Table2[[#This Row],[Position]]="Senior Position",0.8945*500000,Table2[[#This Row],[Position]]="-"," ")</f>
        <v>321150</v>
      </c>
      <c r="K21" s="71" cm="1">
        <f t="array" ref="K21">_xlfn.IFS(Table2[[#This Row],[Position]]="Junior Position",Table2[[#This Row],[Salary]]-(0.334*25000),Table2[[#This Row],[Position]]="Senior Position",Table2[[#This Row],[Salary]]-(0.334*25000),Table2[[#This Row],[Position]]="-", " ")</f>
        <v>312800</v>
      </c>
      <c r="L21" s="70" t="str">
        <f>IF(AND(Table2[[#This Row],[Age]]&lt;= 17,Table2[[#This Row],[Applicant Status]]="Not Hired"),2600,IF(AND(Table2[[#This Row],[Age]]&lt;=20,Table2[[#This Row],[Applicant Status]]="Not Hired"),4600,IF(AND(Table2[[#This Row],[Age]]&gt;=20,Table2[[#This Row],[Applicant Status]]="Not Hired"),6600," ")))</f>
        <v xml:space="preserve"> </v>
      </c>
    </row>
    <row r="22" spans="1:12" x14ac:dyDescent="0.25">
      <c r="A22" s="64">
        <v>20</v>
      </c>
      <c r="B22" s="64" t="s">
        <v>354</v>
      </c>
      <c r="C22" s="64">
        <v>24</v>
      </c>
      <c r="D22" s="64">
        <v>99</v>
      </c>
      <c r="E22" s="64">
        <v>5</v>
      </c>
      <c r="F22" s="64" t="s">
        <v>325</v>
      </c>
      <c r="G22" s="64" t="s">
        <v>329</v>
      </c>
      <c r="H22" s="66" t="str">
        <f>IF(AND(Table2[[#This Row],[Age]]&gt;19,Table2[[#This Row],[Grade point]]&gt;=2.9,Table2[[#This Row],[Pre-interview score]]&gt;=45),"Hired","Not Hired")</f>
        <v>Hired</v>
      </c>
      <c r="I22" s="66" t="str">
        <f>IF(AND(Table2[[#This Row],[Qualification]]="BSC",Table2[[#This Row],[Applicant Status]]="Hired"),"Senior Position",IF(AND(Table2[[#This Row],[Qualification]]&lt;&gt;"BSC",Table2[[#This Row],[Applicant Status]]="Hired"), "Junior Position","-"))</f>
        <v>Junior Position</v>
      </c>
      <c r="J22" s="70" cm="1">
        <f t="array" ref="J22">_xlfn.IFS(Table2[[#This Row],[Position]]="Junior Position",0.6423*500000,Table2[[#This Row],[Position]]="Senior Position",0.8945*500000,Table2[[#This Row],[Position]]="-"," ")</f>
        <v>321150</v>
      </c>
      <c r="K22" s="71" cm="1">
        <f t="array" ref="K22">_xlfn.IFS(Table2[[#This Row],[Position]]="Junior Position",Table2[[#This Row],[Salary]]-(0.334*25000),Table2[[#This Row],[Position]]="Senior Position",Table2[[#This Row],[Salary]]-(0.334*25000),Table2[[#This Row],[Position]]="-", " ")</f>
        <v>312800</v>
      </c>
      <c r="L22" s="70" t="str">
        <f>IF(AND(Table2[[#This Row],[Age]]&lt;= 17,Table2[[#This Row],[Applicant Status]]="Not Hired"),2600,IF(AND(Table2[[#This Row],[Age]]&lt;=20,Table2[[#This Row],[Applicant Status]]="Not Hired"),4600,IF(AND(Table2[[#This Row],[Age]]&gt;=20,Table2[[#This Row],[Applicant Status]]="Not Hired"),6600," ")))</f>
        <v xml:space="preserve"> </v>
      </c>
    </row>
  </sheetData>
  <pageMargins left="0.7" right="0.7" top="0.75" bottom="0.75" header="0.3" footer="0.3"/>
  <pageSetup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A21A-C6D6-4F9C-BF8E-684C65BBD949}">
  <dimension ref="A1:G63"/>
  <sheetViews>
    <sheetView tabSelected="1" workbookViewId="0">
      <selection activeCell="A6" sqref="A6"/>
    </sheetView>
  </sheetViews>
  <sheetFormatPr defaultRowHeight="15" x14ac:dyDescent="0.25"/>
  <cols>
    <col min="1" max="1" width="19.28515625" bestFit="1" customWidth="1"/>
    <col min="2" max="2" width="16.28515625" bestFit="1" customWidth="1"/>
    <col min="3" max="3" width="27.7109375" bestFit="1" customWidth="1"/>
    <col min="4" max="4" width="12.85546875" bestFit="1" customWidth="1"/>
    <col min="5" max="5" width="27.7109375" bestFit="1" customWidth="1"/>
    <col min="6" max="6" width="18" bestFit="1" customWidth="1"/>
    <col min="7" max="7" width="32.7109375" bestFit="1" customWidth="1"/>
  </cols>
  <sheetData>
    <row r="1" spans="1:7" s="48" customFormat="1" x14ac:dyDescent="0.25">
      <c r="A1" s="88" t="s">
        <v>368</v>
      </c>
      <c r="B1" s="89"/>
      <c r="C1" s="89"/>
      <c r="D1" s="89"/>
      <c r="E1" s="89"/>
      <c r="F1" s="89"/>
      <c r="G1" s="89"/>
    </row>
    <row r="4" spans="1:7" x14ac:dyDescent="0.25">
      <c r="A4" s="62" t="s">
        <v>362</v>
      </c>
      <c r="B4" s="62" t="s">
        <v>306</v>
      </c>
    </row>
    <row r="5" spans="1:7" x14ac:dyDescent="0.25">
      <c r="A5" s="62" t="s">
        <v>301</v>
      </c>
      <c r="B5" s="48" t="s">
        <v>361</v>
      </c>
      <c r="C5" s="48" t="s">
        <v>302</v>
      </c>
    </row>
    <row r="6" spans="1:7" x14ac:dyDescent="0.25">
      <c r="A6" s="63" t="s">
        <v>334</v>
      </c>
      <c r="B6" s="8">
        <v>4600</v>
      </c>
      <c r="C6" s="8">
        <v>4600</v>
      </c>
    </row>
    <row r="7" spans="1:7" x14ac:dyDescent="0.25">
      <c r="A7" s="63" t="s">
        <v>327</v>
      </c>
      <c r="B7" s="8">
        <v>6600</v>
      </c>
      <c r="C7" s="8">
        <v>6600</v>
      </c>
    </row>
    <row r="8" spans="1:7" x14ac:dyDescent="0.25">
      <c r="A8" s="63" t="s">
        <v>351</v>
      </c>
      <c r="B8" s="8">
        <v>2600</v>
      </c>
      <c r="C8" s="8">
        <v>2600</v>
      </c>
    </row>
    <row r="9" spans="1:7" x14ac:dyDescent="0.25">
      <c r="A9" s="63" t="s">
        <v>336</v>
      </c>
      <c r="B9" s="8">
        <v>2600</v>
      </c>
      <c r="C9" s="8">
        <v>2600</v>
      </c>
    </row>
    <row r="10" spans="1:7" x14ac:dyDescent="0.25">
      <c r="A10" s="63" t="s">
        <v>324</v>
      </c>
      <c r="B10" s="8">
        <v>4600</v>
      </c>
      <c r="C10" s="8">
        <v>4600</v>
      </c>
    </row>
    <row r="11" spans="1:7" x14ac:dyDescent="0.25">
      <c r="A11" s="63" t="s">
        <v>349</v>
      </c>
      <c r="B11" s="8">
        <v>6600</v>
      </c>
      <c r="C11" s="8">
        <v>6600</v>
      </c>
    </row>
    <row r="12" spans="1:7" x14ac:dyDescent="0.25">
      <c r="A12" s="63" t="s">
        <v>330</v>
      </c>
      <c r="B12" s="8">
        <v>2600</v>
      </c>
      <c r="C12" s="8">
        <v>2600</v>
      </c>
    </row>
    <row r="13" spans="1:7" x14ac:dyDescent="0.25">
      <c r="A13" s="63" t="s">
        <v>343</v>
      </c>
      <c r="B13" s="8">
        <v>4600</v>
      </c>
      <c r="C13" s="8">
        <v>4600</v>
      </c>
    </row>
    <row r="14" spans="1:7" x14ac:dyDescent="0.25">
      <c r="A14" s="63" t="s">
        <v>302</v>
      </c>
      <c r="B14" s="8">
        <v>34800</v>
      </c>
      <c r="C14" s="8">
        <v>34800</v>
      </c>
    </row>
    <row r="18" spans="1:6" x14ac:dyDescent="0.25">
      <c r="A18" s="88" t="s">
        <v>369</v>
      </c>
      <c r="B18" s="89"/>
      <c r="C18" s="89"/>
      <c r="D18" s="89"/>
      <c r="E18" s="89"/>
      <c r="F18" s="89"/>
    </row>
    <row r="19" spans="1:6" x14ac:dyDescent="0.25">
      <c r="A19" s="62" t="s">
        <v>363</v>
      </c>
      <c r="B19" s="62" t="s">
        <v>306</v>
      </c>
    </row>
    <row r="20" spans="1:6" x14ac:dyDescent="0.25">
      <c r="A20" s="62" t="s">
        <v>301</v>
      </c>
      <c r="B20" s="48" t="s">
        <v>360</v>
      </c>
      <c r="C20" s="48" t="s">
        <v>302</v>
      </c>
    </row>
    <row r="21" spans="1:6" x14ac:dyDescent="0.25">
      <c r="A21" s="63" t="s">
        <v>337</v>
      </c>
      <c r="B21" s="8">
        <v>447250</v>
      </c>
      <c r="C21" s="8">
        <v>447250</v>
      </c>
    </row>
    <row r="22" spans="1:6" x14ac:dyDescent="0.25">
      <c r="A22" s="63" t="s">
        <v>347</v>
      </c>
      <c r="B22" s="8">
        <v>447250</v>
      </c>
      <c r="C22" s="8">
        <v>447250</v>
      </c>
    </row>
    <row r="23" spans="1:6" x14ac:dyDescent="0.25">
      <c r="A23" s="63" t="s">
        <v>332</v>
      </c>
      <c r="B23" s="8">
        <v>321150</v>
      </c>
      <c r="C23" s="8">
        <v>321150</v>
      </c>
    </row>
    <row r="24" spans="1:6" x14ac:dyDescent="0.25">
      <c r="A24" s="63" t="s">
        <v>352</v>
      </c>
      <c r="B24" s="8">
        <v>321150</v>
      </c>
      <c r="C24" s="8">
        <v>321150</v>
      </c>
    </row>
    <row r="25" spans="1:6" x14ac:dyDescent="0.25">
      <c r="A25" s="63" t="s">
        <v>342</v>
      </c>
      <c r="B25" s="8">
        <v>447250</v>
      </c>
      <c r="C25" s="8">
        <v>447250</v>
      </c>
    </row>
    <row r="26" spans="1:6" x14ac:dyDescent="0.25">
      <c r="A26" s="63" t="s">
        <v>339</v>
      </c>
      <c r="B26" s="8">
        <v>447250</v>
      </c>
      <c r="C26" s="8">
        <v>447250</v>
      </c>
    </row>
    <row r="27" spans="1:6" x14ac:dyDescent="0.25">
      <c r="A27" s="63" t="s">
        <v>344</v>
      </c>
      <c r="B27" s="8">
        <v>447250</v>
      </c>
      <c r="C27" s="8">
        <v>447250</v>
      </c>
    </row>
    <row r="28" spans="1:6" x14ac:dyDescent="0.25">
      <c r="A28" s="63" t="s">
        <v>354</v>
      </c>
      <c r="B28" s="8">
        <v>321150</v>
      </c>
      <c r="C28" s="8">
        <v>321150</v>
      </c>
    </row>
    <row r="29" spans="1:6" x14ac:dyDescent="0.25">
      <c r="A29" s="63" t="s">
        <v>338</v>
      </c>
      <c r="B29" s="8">
        <v>447250</v>
      </c>
      <c r="C29" s="8">
        <v>447250</v>
      </c>
    </row>
    <row r="30" spans="1:6" x14ac:dyDescent="0.25">
      <c r="A30" s="63" t="s">
        <v>353</v>
      </c>
      <c r="B30" s="8">
        <v>321150</v>
      </c>
      <c r="C30" s="8">
        <v>321150</v>
      </c>
    </row>
    <row r="31" spans="1:6" x14ac:dyDescent="0.25">
      <c r="A31" s="63" t="s">
        <v>341</v>
      </c>
      <c r="B31" s="8">
        <v>321150</v>
      </c>
      <c r="C31" s="8">
        <v>321150</v>
      </c>
    </row>
    <row r="32" spans="1:6" x14ac:dyDescent="0.25">
      <c r="A32" s="63" t="s">
        <v>345</v>
      </c>
      <c r="B32" s="8">
        <v>321150</v>
      </c>
      <c r="C32" s="8">
        <v>321150</v>
      </c>
    </row>
    <row r="33" spans="1:7" x14ac:dyDescent="0.25">
      <c r="A33" s="63" t="s">
        <v>302</v>
      </c>
      <c r="B33" s="8">
        <v>4610400</v>
      </c>
      <c r="C33" s="8">
        <v>4610400</v>
      </c>
    </row>
    <row r="37" spans="1:7" x14ac:dyDescent="0.25">
      <c r="A37" s="88" t="s">
        <v>370</v>
      </c>
      <c r="B37" s="89"/>
      <c r="C37" s="89"/>
      <c r="D37" s="89"/>
      <c r="E37" s="89"/>
      <c r="F37" s="89"/>
    </row>
    <row r="38" spans="1:7" x14ac:dyDescent="0.25">
      <c r="B38" s="62" t="s">
        <v>306</v>
      </c>
    </row>
    <row r="39" spans="1:7" x14ac:dyDescent="0.25">
      <c r="B39" s="48" t="s">
        <v>360</v>
      </c>
      <c r="D39" s="48" t="s">
        <v>361</v>
      </c>
      <c r="F39" s="48" t="s">
        <v>364</v>
      </c>
      <c r="G39" s="48" t="s">
        <v>365</v>
      </c>
    </row>
    <row r="40" spans="1:7" x14ac:dyDescent="0.25">
      <c r="A40" s="62" t="s">
        <v>301</v>
      </c>
      <c r="B40" s="48" t="s">
        <v>363</v>
      </c>
      <c r="C40" s="48" t="s">
        <v>362</v>
      </c>
      <c r="D40" s="48" t="s">
        <v>363</v>
      </c>
      <c r="E40" s="48" t="s">
        <v>362</v>
      </c>
    </row>
    <row r="41" spans="1:7" x14ac:dyDescent="0.25">
      <c r="A41" s="63" t="s">
        <v>337</v>
      </c>
      <c r="B41" s="8">
        <v>447250</v>
      </c>
      <c r="C41" s="8">
        <v>0</v>
      </c>
      <c r="D41" s="8"/>
      <c r="E41" s="8"/>
      <c r="F41" s="8">
        <v>447250</v>
      </c>
      <c r="G41" s="8">
        <v>0</v>
      </c>
    </row>
    <row r="42" spans="1:7" x14ac:dyDescent="0.25">
      <c r="A42" s="63" t="s">
        <v>334</v>
      </c>
      <c r="B42" s="8"/>
      <c r="C42" s="8"/>
      <c r="D42" s="8">
        <v>0</v>
      </c>
      <c r="E42" s="8">
        <v>4600</v>
      </c>
      <c r="F42" s="8">
        <v>0</v>
      </c>
      <c r="G42" s="8">
        <v>4600</v>
      </c>
    </row>
    <row r="43" spans="1:7" x14ac:dyDescent="0.25">
      <c r="A43" s="63" t="s">
        <v>327</v>
      </c>
      <c r="B43" s="8"/>
      <c r="C43" s="8"/>
      <c r="D43" s="8">
        <v>0</v>
      </c>
      <c r="E43" s="8">
        <v>6600</v>
      </c>
      <c r="F43" s="8">
        <v>0</v>
      </c>
      <c r="G43" s="8">
        <v>6600</v>
      </c>
    </row>
    <row r="44" spans="1:7" x14ac:dyDescent="0.25">
      <c r="A44" s="63" t="s">
        <v>347</v>
      </c>
      <c r="B44" s="8">
        <v>447250</v>
      </c>
      <c r="C44" s="8">
        <v>0</v>
      </c>
      <c r="D44" s="8"/>
      <c r="E44" s="8"/>
      <c r="F44" s="8">
        <v>447250</v>
      </c>
      <c r="G44" s="8">
        <v>0</v>
      </c>
    </row>
    <row r="45" spans="1:7" x14ac:dyDescent="0.25">
      <c r="A45" s="63" t="s">
        <v>332</v>
      </c>
      <c r="B45" s="8">
        <v>321150</v>
      </c>
      <c r="C45" s="8">
        <v>0</v>
      </c>
      <c r="D45" s="8"/>
      <c r="E45" s="8"/>
      <c r="F45" s="8">
        <v>321150</v>
      </c>
      <c r="G45" s="8">
        <v>0</v>
      </c>
    </row>
    <row r="46" spans="1:7" x14ac:dyDescent="0.25">
      <c r="A46" s="63" t="s">
        <v>352</v>
      </c>
      <c r="B46" s="8">
        <v>321150</v>
      </c>
      <c r="C46" s="8">
        <v>0</v>
      </c>
      <c r="D46" s="8"/>
      <c r="E46" s="8"/>
      <c r="F46" s="8">
        <v>321150</v>
      </c>
      <c r="G46" s="8">
        <v>0</v>
      </c>
    </row>
    <row r="47" spans="1:7" x14ac:dyDescent="0.25">
      <c r="A47" s="63" t="s">
        <v>342</v>
      </c>
      <c r="B47" s="8">
        <v>447250</v>
      </c>
      <c r="C47" s="8">
        <v>0</v>
      </c>
      <c r="D47" s="8"/>
      <c r="E47" s="8"/>
      <c r="F47" s="8">
        <v>447250</v>
      </c>
      <c r="G47" s="8">
        <v>0</v>
      </c>
    </row>
    <row r="48" spans="1:7" x14ac:dyDescent="0.25">
      <c r="A48" s="63" t="s">
        <v>339</v>
      </c>
      <c r="B48" s="8">
        <v>447250</v>
      </c>
      <c r="C48" s="8">
        <v>0</v>
      </c>
      <c r="D48" s="8"/>
      <c r="E48" s="8"/>
      <c r="F48" s="8">
        <v>447250</v>
      </c>
      <c r="G48" s="8">
        <v>0</v>
      </c>
    </row>
    <row r="49" spans="1:7" x14ac:dyDescent="0.25">
      <c r="A49" s="63" t="s">
        <v>351</v>
      </c>
      <c r="B49" s="8"/>
      <c r="C49" s="8"/>
      <c r="D49" s="8">
        <v>0</v>
      </c>
      <c r="E49" s="8">
        <v>2600</v>
      </c>
      <c r="F49" s="8">
        <v>0</v>
      </c>
      <c r="G49" s="8">
        <v>2600</v>
      </c>
    </row>
    <row r="50" spans="1:7" x14ac:dyDescent="0.25">
      <c r="A50" s="63" t="s">
        <v>336</v>
      </c>
      <c r="B50" s="8"/>
      <c r="C50" s="8"/>
      <c r="D50" s="8">
        <v>0</v>
      </c>
      <c r="E50" s="8">
        <v>2600</v>
      </c>
      <c r="F50" s="8">
        <v>0</v>
      </c>
      <c r="G50" s="8">
        <v>2600</v>
      </c>
    </row>
    <row r="51" spans="1:7" x14ac:dyDescent="0.25">
      <c r="A51" s="63" t="s">
        <v>324</v>
      </c>
      <c r="B51" s="8"/>
      <c r="C51" s="8"/>
      <c r="D51" s="8">
        <v>0</v>
      </c>
      <c r="E51" s="8">
        <v>4600</v>
      </c>
      <c r="F51" s="8">
        <v>0</v>
      </c>
      <c r="G51" s="8">
        <v>4600</v>
      </c>
    </row>
    <row r="52" spans="1:7" x14ac:dyDescent="0.25">
      <c r="A52" s="63" t="s">
        <v>344</v>
      </c>
      <c r="B52" s="8">
        <v>447250</v>
      </c>
      <c r="C52" s="8">
        <v>0</v>
      </c>
      <c r="D52" s="8"/>
      <c r="E52" s="8"/>
      <c r="F52" s="8">
        <v>447250</v>
      </c>
      <c r="G52" s="8">
        <v>0</v>
      </c>
    </row>
    <row r="53" spans="1:7" x14ac:dyDescent="0.25">
      <c r="A53" s="63" t="s">
        <v>354</v>
      </c>
      <c r="B53" s="8">
        <v>321150</v>
      </c>
      <c r="C53" s="8">
        <v>0</v>
      </c>
      <c r="D53" s="8"/>
      <c r="E53" s="8"/>
      <c r="F53" s="8">
        <v>321150</v>
      </c>
      <c r="G53" s="8">
        <v>0</v>
      </c>
    </row>
    <row r="54" spans="1:7" x14ac:dyDescent="0.25">
      <c r="A54" s="63" t="s">
        <v>338</v>
      </c>
      <c r="B54" s="8">
        <v>447250</v>
      </c>
      <c r="C54" s="8">
        <v>0</v>
      </c>
      <c r="D54" s="8"/>
      <c r="E54" s="8"/>
      <c r="F54" s="8">
        <v>447250</v>
      </c>
      <c r="G54" s="8">
        <v>0</v>
      </c>
    </row>
    <row r="55" spans="1:7" x14ac:dyDescent="0.25">
      <c r="A55" s="63" t="s">
        <v>353</v>
      </c>
      <c r="B55" s="8">
        <v>321150</v>
      </c>
      <c r="C55" s="8">
        <v>0</v>
      </c>
      <c r="D55" s="8"/>
      <c r="E55" s="8"/>
      <c r="F55" s="8">
        <v>321150</v>
      </c>
      <c r="G55" s="8">
        <v>0</v>
      </c>
    </row>
    <row r="56" spans="1:7" x14ac:dyDescent="0.25">
      <c r="A56" s="63" t="s">
        <v>341</v>
      </c>
      <c r="B56" s="8">
        <v>321150</v>
      </c>
      <c r="C56" s="8">
        <v>0</v>
      </c>
      <c r="D56" s="8"/>
      <c r="E56" s="8"/>
      <c r="F56" s="8">
        <v>321150</v>
      </c>
      <c r="G56" s="8">
        <v>0</v>
      </c>
    </row>
    <row r="57" spans="1:7" x14ac:dyDescent="0.25">
      <c r="A57" s="63" t="s">
        <v>349</v>
      </c>
      <c r="B57" s="8"/>
      <c r="C57" s="8"/>
      <c r="D57" s="8">
        <v>0</v>
      </c>
      <c r="E57" s="8">
        <v>6600</v>
      </c>
      <c r="F57" s="8">
        <v>0</v>
      </c>
      <c r="G57" s="8">
        <v>6600</v>
      </c>
    </row>
    <row r="58" spans="1:7" x14ac:dyDescent="0.25">
      <c r="A58" s="63" t="s">
        <v>345</v>
      </c>
      <c r="B58" s="8">
        <v>321150</v>
      </c>
      <c r="C58" s="8">
        <v>0</v>
      </c>
      <c r="D58" s="8"/>
      <c r="E58" s="8"/>
      <c r="F58" s="8">
        <v>321150</v>
      </c>
      <c r="G58" s="8">
        <v>0</v>
      </c>
    </row>
    <row r="59" spans="1:7" x14ac:dyDescent="0.25">
      <c r="A59" s="63" t="s">
        <v>330</v>
      </c>
      <c r="B59" s="8"/>
      <c r="C59" s="8"/>
      <c r="D59" s="8">
        <v>0</v>
      </c>
      <c r="E59" s="8">
        <v>2600</v>
      </c>
      <c r="F59" s="8">
        <v>0</v>
      </c>
      <c r="G59" s="8">
        <v>2600</v>
      </c>
    </row>
    <row r="60" spans="1:7" x14ac:dyDescent="0.25">
      <c r="A60" s="63" t="s">
        <v>343</v>
      </c>
      <c r="B60" s="8"/>
      <c r="C60" s="8"/>
      <c r="D60" s="8">
        <v>0</v>
      </c>
      <c r="E60" s="8">
        <v>4600</v>
      </c>
      <c r="F60" s="8">
        <v>0</v>
      </c>
      <c r="G60" s="8">
        <v>4600</v>
      </c>
    </row>
    <row r="61" spans="1:7" x14ac:dyDescent="0.25">
      <c r="A61" s="63" t="s">
        <v>302</v>
      </c>
      <c r="B61" s="8">
        <v>4610400</v>
      </c>
      <c r="C61" s="8">
        <v>0</v>
      </c>
      <c r="D61" s="8">
        <v>0</v>
      </c>
      <c r="E61" s="8">
        <v>34800</v>
      </c>
      <c r="F61" s="8">
        <v>4610400</v>
      </c>
      <c r="G61" s="8">
        <v>34800</v>
      </c>
    </row>
    <row r="63" spans="1:7" x14ac:dyDescent="0.25">
      <c r="A63" s="72" t="s">
        <v>366</v>
      </c>
      <c r="B63" s="73">
        <f>SUM(F61+G61)</f>
        <v>4645200</v>
      </c>
    </row>
  </sheetData>
  <mergeCells count="3">
    <mergeCell ref="A1:G1"/>
    <mergeCell ref="A18:F18"/>
    <mergeCell ref="A37:F37"/>
  </mergeCells>
  <pageMargins left="0.7" right="0.7" top="0.75" bottom="0.75" header="0.3" footer="0.3"/>
  <pageSetup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782C-AD4A-4612-90AD-54E3D8C42FAA}">
  <dimension ref="A1:E22"/>
  <sheetViews>
    <sheetView topLeftCell="A10" workbookViewId="0">
      <selection activeCell="A18" sqref="A18:E18"/>
    </sheetView>
  </sheetViews>
  <sheetFormatPr defaultRowHeight="15" x14ac:dyDescent="0.25"/>
  <cols>
    <col min="1" max="1" width="15.42578125" bestFit="1" customWidth="1"/>
    <col min="2" max="2" width="14.42578125" bestFit="1" customWidth="1"/>
    <col min="3" max="3" width="11.28515625" bestFit="1" customWidth="1"/>
    <col min="4" max="8" width="16.28515625" bestFit="1" customWidth="1"/>
    <col min="9" max="9" width="11.28515625" bestFit="1" customWidth="1"/>
  </cols>
  <sheetData>
    <row r="1" spans="1:5" s="48" customFormat="1" x14ac:dyDescent="0.25">
      <c r="A1" s="89" t="s">
        <v>371</v>
      </c>
      <c r="B1" s="89"/>
      <c r="C1" s="89"/>
      <c r="D1" s="89"/>
      <c r="E1" s="89"/>
    </row>
    <row r="2" spans="1:5" x14ac:dyDescent="0.25">
      <c r="A2" s="62" t="s">
        <v>356</v>
      </c>
      <c r="B2" s="48" t="s">
        <v>360</v>
      </c>
    </row>
    <row r="4" spans="1:5" x14ac:dyDescent="0.25">
      <c r="A4" s="62" t="s">
        <v>301</v>
      </c>
      <c r="B4" t="s">
        <v>367</v>
      </c>
    </row>
    <row r="5" spans="1:5" x14ac:dyDescent="0.25">
      <c r="A5" s="63" t="s">
        <v>329</v>
      </c>
      <c r="B5" s="8">
        <v>6</v>
      </c>
    </row>
    <row r="6" spans="1:5" x14ac:dyDescent="0.25">
      <c r="A6" s="63" t="s">
        <v>302</v>
      </c>
      <c r="B6" s="8">
        <v>6</v>
      </c>
    </row>
    <row r="10" spans="1:5" x14ac:dyDescent="0.25">
      <c r="A10" s="88" t="s">
        <v>372</v>
      </c>
      <c r="B10" s="89"/>
      <c r="C10" s="89"/>
      <c r="D10" s="89"/>
      <c r="E10" s="89"/>
    </row>
    <row r="11" spans="1:5" x14ac:dyDescent="0.25">
      <c r="A11" s="62" t="s">
        <v>356</v>
      </c>
      <c r="B11" s="48" t="s">
        <v>360</v>
      </c>
    </row>
    <row r="12" spans="1:5" x14ac:dyDescent="0.25">
      <c r="A12" s="48"/>
      <c r="B12" s="48"/>
    </row>
    <row r="13" spans="1:5" x14ac:dyDescent="0.25">
      <c r="A13" s="62" t="s">
        <v>301</v>
      </c>
      <c r="B13" t="s">
        <v>367</v>
      </c>
    </row>
    <row r="14" spans="1:5" x14ac:dyDescent="0.25">
      <c r="A14" s="63" t="s">
        <v>333</v>
      </c>
      <c r="B14" s="8">
        <v>3</v>
      </c>
    </row>
    <row r="15" spans="1:5" x14ac:dyDescent="0.25">
      <c r="A15" s="63" t="s">
        <v>302</v>
      </c>
      <c r="B15" s="8">
        <v>3</v>
      </c>
    </row>
    <row r="18" spans="1:5" x14ac:dyDescent="0.25">
      <c r="A18" s="88" t="s">
        <v>373</v>
      </c>
      <c r="B18" s="89"/>
      <c r="C18" s="89"/>
      <c r="D18" s="89"/>
      <c r="E18" s="89"/>
    </row>
    <row r="19" spans="1:5" x14ac:dyDescent="0.25">
      <c r="A19" s="62" t="s">
        <v>356</v>
      </c>
      <c r="B19" s="48" t="s">
        <v>360</v>
      </c>
    </row>
    <row r="20" spans="1:5" x14ac:dyDescent="0.25">
      <c r="A20" s="48"/>
      <c r="B20" s="48"/>
    </row>
    <row r="21" spans="1:5" x14ac:dyDescent="0.25">
      <c r="A21" s="62" t="s">
        <v>301</v>
      </c>
      <c r="B21" t="s">
        <v>367</v>
      </c>
    </row>
    <row r="22" spans="1:5" x14ac:dyDescent="0.25">
      <c r="A22" s="63" t="s">
        <v>302</v>
      </c>
      <c r="B22" s="8"/>
    </row>
  </sheetData>
  <mergeCells count="3">
    <mergeCell ref="A1:E1"/>
    <mergeCell ref="A10:E10"/>
    <mergeCell ref="A18:E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9768-E262-4D6B-A9F3-BC8B948DB300}">
  <dimension ref="A1:L8"/>
  <sheetViews>
    <sheetView workbookViewId="0">
      <selection activeCell="E15" sqref="E15"/>
    </sheetView>
  </sheetViews>
  <sheetFormatPr defaultRowHeight="15" x14ac:dyDescent="0.25"/>
  <cols>
    <col min="1" max="1" width="15.42578125" bestFit="1" customWidth="1"/>
    <col min="2" max="2" width="14.42578125" bestFit="1" customWidth="1"/>
  </cols>
  <sheetData>
    <row r="1" spans="1:12" x14ac:dyDescent="0.25">
      <c r="A1" s="90" t="s">
        <v>374</v>
      </c>
      <c r="B1" s="91"/>
      <c r="C1" s="91"/>
      <c r="D1" s="91"/>
      <c r="E1" s="91"/>
      <c r="F1" s="91"/>
      <c r="G1" s="91"/>
      <c r="H1" s="91"/>
      <c r="I1" s="91"/>
      <c r="J1" s="91"/>
      <c r="K1" s="91"/>
      <c r="L1" s="74"/>
    </row>
    <row r="2" spans="1:12" x14ac:dyDescent="0.25">
      <c r="A2" s="91"/>
      <c r="B2" s="91"/>
      <c r="C2" s="91"/>
      <c r="D2" s="91"/>
      <c r="E2" s="91"/>
      <c r="F2" s="91"/>
      <c r="G2" s="91"/>
      <c r="H2" s="91"/>
      <c r="I2" s="91"/>
      <c r="J2" s="91"/>
      <c r="K2" s="91"/>
      <c r="L2" s="48"/>
    </row>
    <row r="3" spans="1:12" x14ac:dyDescent="0.25">
      <c r="A3" s="62" t="s">
        <v>356</v>
      </c>
      <c r="B3" s="48" t="s">
        <v>360</v>
      </c>
    </row>
    <row r="4" spans="1:12" x14ac:dyDescent="0.25">
      <c r="A4" s="48"/>
      <c r="B4" s="48"/>
    </row>
    <row r="5" spans="1:12" x14ac:dyDescent="0.25">
      <c r="A5" s="62" t="s">
        <v>301</v>
      </c>
      <c r="B5" t="s">
        <v>367</v>
      </c>
    </row>
    <row r="6" spans="1:12" x14ac:dyDescent="0.25">
      <c r="A6" s="63" t="s">
        <v>340</v>
      </c>
      <c r="B6" s="8">
        <v>1</v>
      </c>
    </row>
    <row r="7" spans="1:12" x14ac:dyDescent="0.25">
      <c r="A7" s="63" t="s">
        <v>333</v>
      </c>
      <c r="B7" s="8">
        <v>3</v>
      </c>
    </row>
    <row r="8" spans="1:12" x14ac:dyDescent="0.25">
      <c r="A8" s="63" t="s">
        <v>302</v>
      </c>
      <c r="B8" s="8">
        <v>4</v>
      </c>
    </row>
  </sheetData>
  <mergeCells count="1">
    <mergeCell ref="A1: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3D7B91-A00B-409C-9DA9-A0B834579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vt:i4>
      </vt:variant>
    </vt:vector>
  </HeadingPairs>
  <TitlesOfParts>
    <vt:vector size="30" baseType="lpstr">
      <vt:lpstr>Retail_sales_data</vt:lpstr>
      <vt:lpstr>Employee_data</vt:lpstr>
      <vt:lpstr>School_records</vt:lpstr>
      <vt:lpstr>Assignment_Sabrosa</vt:lpstr>
      <vt:lpstr>Employee Payroll</vt:lpstr>
      <vt:lpstr>Employee payroll_Assignment</vt:lpstr>
      <vt:lpstr>GradeBook</vt:lpstr>
      <vt:lpstr>LinearEquation_Assignment</vt:lpstr>
      <vt:lpstr>GradeBook II</vt:lpstr>
      <vt:lpstr>Count&amp;Sum</vt:lpstr>
      <vt:lpstr>Car_Inventory_Dataset</vt:lpstr>
      <vt:lpstr>W_sheet_Car_Inventory</vt:lpstr>
      <vt:lpstr>Pv1_Car_Inventory</vt:lpstr>
      <vt:lpstr>Pv2_Car_Inventory</vt:lpstr>
      <vt:lpstr>Car_Inventory_Analysis_Report</vt:lpstr>
      <vt:lpstr>SalesRecord</vt:lpstr>
      <vt:lpstr>W_sheet_Sales_record</vt:lpstr>
      <vt:lpstr>Pv1_SalesRecord</vt:lpstr>
      <vt:lpstr>Pv2_SalesRecord</vt:lpstr>
      <vt:lpstr>Pv3_SalesRecord</vt:lpstr>
      <vt:lpstr>Pv4_SalesRecord</vt:lpstr>
      <vt:lpstr>Icon_Group_Of_Company</vt:lpstr>
      <vt:lpstr>Pv1_Icon_Group_Of_Company</vt:lpstr>
      <vt:lpstr>Pv2_Icon_Group_Of_Company</vt:lpstr>
      <vt:lpstr>Pv3_Icon_Group_Of_Company</vt:lpstr>
      <vt:lpstr>Location</vt:lpstr>
      <vt:lpstr>locations</vt:lpstr>
      <vt:lpstr>Oja</vt:lpstr>
      <vt:lpstr>Taiwo</vt:lpstr>
      <vt:lpstr>Tanke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Adedokun Eniola</dc:creator>
  <cp:lastModifiedBy>Adedokun Eniola</cp:lastModifiedBy>
  <dcterms:created xsi:type="dcterms:W3CDTF">2025-01-16T10:36:09Z</dcterms:created>
  <dcterms:modified xsi:type="dcterms:W3CDTF">2025-01-30T16:08:27Z</dcterms:modified>
</cp:coreProperties>
</file>