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166925"/>
  <mc:AlternateContent xmlns:mc="http://schemas.openxmlformats.org/markup-compatibility/2006">
    <mc:Choice Requires="x15">
      <x15ac:absPath xmlns:x15ac="http://schemas.microsoft.com/office/spreadsheetml/2010/11/ac" url="C:\Users\enoch\OneDrive\Attendance Record 2024\Excel_Projects\Nigerian_Aircraft_Accident\"/>
    </mc:Choice>
  </mc:AlternateContent>
  <xr:revisionPtr revIDLastSave="0" documentId="13_ncr:1_{8B1D60B8-789A-4858-9FFF-C51206D18A5D}" xr6:coauthVersionLast="47" xr6:coauthVersionMax="47" xr10:uidLastSave="{00000000-0000-0000-0000-000000000000}"/>
  <bookViews>
    <workbookView xWindow="-108" yWindow="-108" windowWidth="23256" windowHeight="12456" activeTab="2" xr2:uid="{62A3EB2F-20C6-495C-A447-01DD91A1B0FA}"/>
  </bookViews>
  <sheets>
    <sheet name="nigerian_air_accidents" sheetId="1" r:id="rId1"/>
    <sheet name="Analysis" sheetId="2" r:id="rId2"/>
    <sheet name="Dashboard" sheetId="6" r:id="rId3"/>
  </sheets>
  <definedNames>
    <definedName name="Slicer_Month">#N/A</definedName>
    <definedName name="Slicer_Year">#N/A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50" i="1" l="1"/>
  <c r="B51" i="1"/>
  <c r="B52" i="1"/>
  <c r="C50" i="1"/>
  <c r="C51" i="1"/>
  <c r="C52" i="1"/>
  <c r="J50" i="1"/>
  <c r="J51" i="1"/>
  <c r="J52" i="1"/>
  <c r="B49" i="1"/>
  <c r="C49" i="1"/>
  <c r="J49" i="1"/>
  <c r="B48" i="1"/>
  <c r="C48" i="1"/>
  <c r="J48" i="1"/>
  <c r="G57" i="1"/>
  <c r="G56" i="1"/>
  <c r="D56" i="1" a="1"/>
  <c r="D56" i="1"/>
  <c r="E56" i="1" s="1"/>
  <c r="E57" i="1" s="1"/>
  <c r="W29" i="2"/>
  <c r="W28" i="2"/>
  <c r="W27" i="2"/>
  <c r="W26" i="2"/>
  <c r="W25" i="2"/>
  <c r="W24" i="2"/>
  <c r="W23" i="2"/>
  <c r="W22" i="2"/>
  <c r="W21" i="2"/>
  <c r="W20" i="2"/>
  <c r="W19" i="2"/>
  <c r="W18" i="2"/>
  <c r="W17" i="2"/>
  <c r="W16" i="2"/>
  <c r="W15" i="2"/>
  <c r="W14" i="2"/>
  <c r="W13" i="2"/>
  <c r="W12" i="2"/>
  <c r="W11" i="2"/>
  <c r="W10" i="2"/>
  <c r="J47" i="1"/>
  <c r="C47" i="1"/>
  <c r="B47" i="1"/>
  <c r="J46" i="1"/>
  <c r="C46" i="1"/>
  <c r="B46" i="1"/>
  <c r="J45" i="1"/>
  <c r="C45" i="1"/>
  <c r="B45" i="1"/>
  <c r="J44" i="1"/>
  <c r="C44" i="1"/>
  <c r="B44" i="1"/>
  <c r="J43" i="1"/>
  <c r="C43" i="1"/>
  <c r="B43" i="1"/>
  <c r="J42" i="1"/>
  <c r="C42" i="1"/>
  <c r="B42" i="1"/>
  <c r="J41" i="1"/>
  <c r="C41" i="1"/>
  <c r="B41" i="1"/>
  <c r="J40" i="1"/>
  <c r="C40" i="1"/>
  <c r="B40" i="1"/>
  <c r="J39" i="1"/>
  <c r="C39" i="1"/>
  <c r="B39" i="1"/>
  <c r="J38" i="1"/>
  <c r="C38" i="1"/>
  <c r="B38" i="1"/>
  <c r="J37" i="1"/>
  <c r="C37" i="1"/>
  <c r="B37" i="1"/>
  <c r="J36" i="1"/>
  <c r="C36" i="1"/>
  <c r="B36" i="1"/>
  <c r="J35" i="1"/>
  <c r="C35" i="1"/>
  <c r="B35" i="1"/>
  <c r="J34" i="1"/>
  <c r="C34" i="1"/>
  <c r="B34" i="1"/>
  <c r="J33" i="1"/>
  <c r="C33" i="1"/>
  <c r="B33" i="1"/>
  <c r="J32" i="1"/>
  <c r="C32" i="1"/>
  <c r="B32" i="1"/>
  <c r="J31" i="1"/>
  <c r="C31" i="1"/>
  <c r="B31" i="1"/>
  <c r="J30" i="1"/>
  <c r="C30" i="1"/>
  <c r="B30" i="1"/>
  <c r="J29" i="1"/>
  <c r="C29" i="1"/>
  <c r="B29" i="1"/>
  <c r="J28" i="1"/>
  <c r="C28" i="1"/>
  <c r="B28" i="1"/>
  <c r="J27" i="1"/>
  <c r="C27" i="1"/>
  <c r="B27" i="1"/>
  <c r="J26" i="1"/>
  <c r="C26" i="1"/>
  <c r="B26" i="1"/>
  <c r="J25" i="1"/>
  <c r="C25" i="1"/>
  <c r="B25" i="1"/>
  <c r="J24" i="1"/>
  <c r="C24" i="1"/>
  <c r="B24" i="1"/>
  <c r="J23" i="1"/>
  <c r="C23" i="1"/>
  <c r="B23" i="1"/>
  <c r="J22" i="1"/>
  <c r="C22" i="1"/>
  <c r="B22" i="1"/>
  <c r="J21" i="1"/>
  <c r="C21" i="1"/>
  <c r="B21" i="1"/>
  <c r="J20" i="1"/>
  <c r="C20" i="1"/>
  <c r="B20" i="1"/>
  <c r="J19" i="1"/>
  <c r="C19" i="1"/>
  <c r="B19" i="1"/>
  <c r="J18" i="1"/>
  <c r="C18" i="1"/>
  <c r="B18" i="1"/>
  <c r="J17" i="1"/>
  <c r="C17" i="1"/>
  <c r="B17" i="1"/>
  <c r="J16" i="1"/>
  <c r="C16" i="1"/>
  <c r="B16" i="1"/>
  <c r="J15" i="1"/>
  <c r="C15" i="1"/>
  <c r="B15" i="1"/>
  <c r="J14" i="1"/>
  <c r="C14" i="1"/>
  <c r="B14" i="1"/>
  <c r="J13" i="1"/>
  <c r="C13" i="1"/>
  <c r="B13" i="1"/>
  <c r="J12" i="1"/>
  <c r="C12" i="1"/>
  <c r="B12" i="1"/>
  <c r="J11" i="1"/>
  <c r="C11" i="1"/>
  <c r="B11" i="1"/>
  <c r="J10" i="1"/>
  <c r="C10" i="1"/>
  <c r="B10" i="1"/>
  <c r="J9" i="1"/>
  <c r="C9" i="1"/>
  <c r="B9" i="1"/>
  <c r="J8" i="1"/>
  <c r="C8" i="1"/>
  <c r="B8" i="1"/>
  <c r="J7" i="1"/>
  <c r="C7" i="1"/>
  <c r="B7" i="1"/>
  <c r="J6" i="1"/>
  <c r="C6" i="1"/>
  <c r="B6" i="1"/>
  <c r="J5" i="1"/>
  <c r="C5" i="1"/>
  <c r="B5" i="1"/>
  <c r="J4" i="1"/>
  <c r="C4" i="1"/>
  <c r="B4" i="1"/>
  <c r="J3" i="1"/>
  <c r="C3" i="1"/>
  <c r="B3" i="1"/>
  <c r="J2" i="1"/>
  <c r="C2" i="1"/>
  <c r="B2" i="1"/>
  <c r="B2" i="2"/>
  <c r="B6"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<sst xmlns="http://schemas.openxmlformats.org/spreadsheetml/2006/main" count="454" uniqueCount="244">
  <si>
    <t>Date</t>
  </si>
  <si>
    <t>Operator</t>
  </si>
  <si>
    <t>Fatalities</t>
  </si>
  <si>
    <t>Location</t>
  </si>
  <si>
    <t>Status</t>
  </si>
  <si>
    <t>Boeing 737-4Y0 (SF)</t>
  </si>
  <si>
    <t>5N-JRT</t>
  </si>
  <si>
    <t>Allied Air</t>
  </si>
  <si>
    <t>Abuja-Nnamdi Azikiwe International Airport (ABV/DNAA)</t>
  </si>
  <si>
    <t>sub</t>
  </si>
  <si>
    <t>Raytheon Hawker 800XP</t>
  </si>
  <si>
    <t>5N-AMM</t>
  </si>
  <si>
    <t>Flints Aero Services</t>
  </si>
  <si>
    <t>Ibadan Airport (IBA/DNIB), Oyo State</t>
  </si>
  <si>
    <t>Airbus A300B4-622R (F)</t>
  </si>
  <si>
    <t>D-AEAE</t>
  </si>
  <si>
    <t>European Air Transport</t>
  </si>
  <si>
    <t>Lagos-Murtala Muhammed International Airport (LOS)</t>
  </si>
  <si>
    <t>Beechcraft B300 King Air 350i</t>
  </si>
  <si>
    <t>NAF203</t>
  </si>
  <si>
    <t>Nigerian Air Force - NAF</t>
  </si>
  <si>
    <t>near Kaduna Airport (KAD)</t>
  </si>
  <si>
    <t>w/o</t>
  </si>
  <si>
    <t>Beechcraft B300 King Air 350</t>
  </si>
  <si>
    <t>NAF201</t>
  </si>
  <si>
    <t>NE of Abuja-Nnamdi Azikiwe International Airport (ABV)</t>
  </si>
  <si>
    <t>Boeing 737-36N (WL)</t>
  </si>
  <si>
    <t>5N-BQO</t>
  </si>
  <si>
    <t>Air Peace</t>
  </si>
  <si>
    <t>ATR 72-202</t>
  </si>
  <si>
    <t>5N-BPE</t>
  </si>
  <si>
    <t>Overland Airways</t>
  </si>
  <si>
    <t>McDonnell Douglas MD-83</t>
  </si>
  <si>
    <t>5N-SRI</t>
  </si>
  <si>
    <t>Dana Air</t>
  </si>
  <si>
    <t>Port Harcourt Airport (PHC)</t>
  </si>
  <si>
    <t>Airbus A330-223</t>
  </si>
  <si>
    <t>N858NW</t>
  </si>
  <si>
    <t>Delta Air Lines</t>
  </si>
  <si>
    <t>Lagos-Murtala Muhammed International Airport (LOS/DNMM)</t>
  </si>
  <si>
    <t>non</t>
  </si>
  <si>
    <t>Gulfstream G200</t>
  </si>
  <si>
    <t>5N-BTF</t>
  </si>
  <si>
    <t>Nestoil</t>
  </si>
  <si>
    <t>Dornier 228-212</t>
  </si>
  <si>
    <t>NAF030</t>
  </si>
  <si>
    <t>Kaduna</t>
  </si>
  <si>
    <t>Hawker 800XP</t>
  </si>
  <si>
    <t>N497AG</t>
  </si>
  <si>
    <t>de Havilland Canada DHC-8-402Q Dash 8</t>
  </si>
  <si>
    <t>5N-BPT</t>
  </si>
  <si>
    <t>Aerocontractors Company of Nigeria</t>
  </si>
  <si>
    <t>Boeing 747-281B (SF)</t>
  </si>
  <si>
    <t>EK74798</t>
  </si>
  <si>
    <t>Saudi Arabian Airlines, lsf Veteran Airline</t>
  </si>
  <si>
    <t>Abuja International Airport (ABV)</t>
  </si>
  <si>
    <t>Embraer EMB-120RT Brasilia</t>
  </si>
  <si>
    <t>5N-BJY</t>
  </si>
  <si>
    <t>Associated Aviation</t>
  </si>
  <si>
    <t>Cessna 208B Grand Caravan</t>
  </si>
  <si>
    <t>5N-BMJ</t>
  </si>
  <si>
    <t>Taraba State Government</t>
  </si>
  <si>
    <t>13.7 km W of Yola Airport (YOL)</t>
  </si>
  <si>
    <t>McDonnell Douglas DC-9-83 (MD-83)</t>
  </si>
  <si>
    <t>5N-RAM</t>
  </si>
  <si>
    <t>9.3 km N of Lagos-Murtala Muhammed International Airport (LOS)</t>
  </si>
  <si>
    <t>Cessna 560XL Citation XLS</t>
  </si>
  <si>
    <t>5N-BMM</t>
  </si>
  <si>
    <t>Bristow Helicopters</t>
  </si>
  <si>
    <t>British Aerospace BAe-125-700B</t>
  </si>
  <si>
    <t>5N-BEX</t>
  </si>
  <si>
    <t>Benin City Airport (BNI)</t>
  </si>
  <si>
    <t>min</t>
  </si>
  <si>
    <t>Alenia G-222</t>
  </si>
  <si>
    <t>NAF 950</t>
  </si>
  <si>
    <t>5N-BLN</t>
  </si>
  <si>
    <t>Capital Airlines Ltd.</t>
  </si>
  <si>
    <t>Enugu Airport (ENU)</t>
  </si>
  <si>
    <t>Boeing 737-282</t>
  </si>
  <si>
    <t>5N-BIG</t>
  </si>
  <si>
    <t>Chanchangi Airlines</t>
  </si>
  <si>
    <t>Beechcraft 1900D</t>
  </si>
  <si>
    <t>5N-JAH</t>
  </si>
  <si>
    <t>Wings Aviation</t>
  </si>
  <si>
    <t>near Bushi Village, Obanliku</t>
  </si>
  <si>
    <t>Boeing 737-2B7</t>
  </si>
  <si>
    <t>5N-BFK</t>
  </si>
  <si>
    <t>ADC Airlines</t>
  </si>
  <si>
    <t>NAF033</t>
  </si>
  <si>
    <t>near Vande Iky</t>
  </si>
  <si>
    <t>Boeing 727-277</t>
  </si>
  <si>
    <t>ZS-DPF</t>
  </si>
  <si>
    <t>DHL Aviation</t>
  </si>
  <si>
    <t>Lagos-Murtala Muhammed Airport (LOS)</t>
  </si>
  <si>
    <t>McDonnell Douglas DC-9-32</t>
  </si>
  <si>
    <t>5N-BFD</t>
  </si>
  <si>
    <t>Sosoliso Airlines</t>
  </si>
  <si>
    <t>Beechcraft 200 Super King Air</t>
  </si>
  <si>
    <t>N73MW</t>
  </si>
  <si>
    <t>Private</t>
  </si>
  <si>
    <t>Kaduna Airport (KAD)</t>
  </si>
  <si>
    <t>Boeing 737-2L9</t>
  </si>
  <si>
    <t>5N-BFN</t>
  </si>
  <si>
    <t>Bellview Airlines</t>
  </si>
  <si>
    <t>Lisa Village, Ogun State</t>
  </si>
  <si>
    <t>Fokker 100</t>
  </si>
  <si>
    <t>5N-COO</t>
  </si>
  <si>
    <t>IRS Airlines</t>
  </si>
  <si>
    <t>Boeing 727-2M7</t>
  </si>
  <si>
    <t>5N-BCF</t>
  </si>
  <si>
    <t>5N-PTL</t>
  </si>
  <si>
    <t>Eket airstrip</t>
  </si>
  <si>
    <t>Let L-410UVP-E</t>
  </si>
  <si>
    <t>5N-BFL</t>
  </si>
  <si>
    <t>Millenium Air</t>
  </si>
  <si>
    <t>Kano-Aminu Kano International Airport (KAN)</t>
  </si>
  <si>
    <t>Boeing 747-258</t>
  </si>
  <si>
    <t>ZS-OOS</t>
  </si>
  <si>
    <t>Hydro Air Cargo</t>
  </si>
  <si>
    <t>Let L-410UVP</t>
  </si>
  <si>
    <t>9Q-CGX</t>
  </si>
  <si>
    <t>Sky Executive Airlines</t>
  </si>
  <si>
    <t>22 km SSE of Calabar Airport (CBQ)</t>
  </si>
  <si>
    <t>BAC One-Eleven 525FT</t>
  </si>
  <si>
    <t>5N-ESF</t>
  </si>
  <si>
    <t>EAS Airlines</t>
  </si>
  <si>
    <t>3 km SW of Kano-Aminu Kano International Airport (KAN)</t>
  </si>
  <si>
    <t>BAC One-Eleven 523FJ</t>
  </si>
  <si>
    <t>5N-BDU</t>
  </si>
  <si>
    <t>Savanah Airlines</t>
  </si>
  <si>
    <t>BAC One-Eleven 401AK</t>
  </si>
  <si>
    <t>5N-MBM</t>
  </si>
  <si>
    <t>Albarka Air</t>
  </si>
  <si>
    <t>Boeing 747-246F</t>
  </si>
  <si>
    <t>9G-MKI</t>
  </si>
  <si>
    <t>MK Airlines</t>
  </si>
  <si>
    <t>near Port Harcourt</t>
  </si>
  <si>
    <t>Hawker Siddeley HS-125-600B</t>
  </si>
  <si>
    <t>5N-RNO</t>
  </si>
  <si>
    <t>Chrome Air</t>
  </si>
  <si>
    <t>near Lagos-Murtala Muhammed Airport (LOS)</t>
  </si>
  <si>
    <t>Short 360-300</t>
  </si>
  <si>
    <t>5N-BBZ</t>
  </si>
  <si>
    <t>Associated Aviation Limited</t>
  </si>
  <si>
    <t>Birnin Kebbi Airstrip</t>
  </si>
  <si>
    <t>9L-LCG</t>
  </si>
  <si>
    <t>Eagle Aviation ?</t>
  </si>
  <si>
    <t>12 km from Maiduguri</t>
  </si>
  <si>
    <t>Dornier Do 128-6 Turbo Skyservant</t>
  </si>
  <si>
    <t>NAF-018</t>
  </si>
  <si>
    <t>Jedo Village, near Warri</t>
  </si>
  <si>
    <t>Lockheed C-130H Hercules</t>
  </si>
  <si>
    <t>NAF914</t>
  </si>
  <si>
    <t>Embraer EMB-110P1A Bandeirante</t>
  </si>
  <si>
    <t>5N-AXM</t>
  </si>
  <si>
    <t>Skypower Express Airways</t>
  </si>
  <si>
    <t>1.2 km from Kaduna Airport (KAD)</t>
  </si>
  <si>
    <t>5N-AXL</t>
  </si>
  <si>
    <t>Swat Technology LLC</t>
  </si>
  <si>
    <t>substancial damage</t>
  </si>
  <si>
    <t>minor damage</t>
  </si>
  <si>
    <t>Non-accidental damage</t>
  </si>
  <si>
    <t>Write-off (Aircraft destroyed).</t>
  </si>
  <si>
    <t>Registration.</t>
  </si>
  <si>
    <t>Aircraft Type</t>
  </si>
  <si>
    <t>Year</t>
  </si>
  <si>
    <t>Month</t>
  </si>
  <si>
    <t>Count of Status</t>
  </si>
  <si>
    <t>Sum of Fatalities</t>
  </si>
  <si>
    <t>Row Labels</t>
  </si>
  <si>
    <t>2000</t>
  </si>
  <si>
    <t>2001</t>
  </si>
  <si>
    <t>2002</t>
  </si>
  <si>
    <t>2003</t>
  </si>
  <si>
    <t>2004</t>
  </si>
  <si>
    <t>2005</t>
  </si>
  <si>
    <t>2006</t>
  </si>
  <si>
    <t>2008</t>
  </si>
  <si>
    <t>2009</t>
  </si>
  <si>
    <t>2010</t>
  </si>
  <si>
    <t>2011</t>
  </si>
  <si>
    <t>2012</t>
  </si>
  <si>
    <t>2013</t>
  </si>
  <si>
    <t>2014</t>
  </si>
  <si>
    <t>2015</t>
  </si>
  <si>
    <t>2018</t>
  </si>
  <si>
    <t>2019</t>
  </si>
  <si>
    <t>2021</t>
  </si>
  <si>
    <t>2023</t>
  </si>
  <si>
    <t>2024</t>
  </si>
  <si>
    <t>Grand Total</t>
  </si>
  <si>
    <t>Count of Year</t>
  </si>
  <si>
    <t>Count of Operator</t>
  </si>
  <si>
    <t>January</t>
  </si>
  <si>
    <t>February</t>
  </si>
  <si>
    <t>March</t>
  </si>
  <si>
    <t>April</t>
  </si>
  <si>
    <t>May</t>
  </si>
  <si>
    <t>June</t>
  </si>
  <si>
    <t>July</t>
  </si>
  <si>
    <t>August</t>
  </si>
  <si>
    <t>September</t>
  </si>
  <si>
    <t>October</t>
  </si>
  <si>
    <t>November</t>
  </si>
  <si>
    <t>December</t>
  </si>
  <si>
    <t>Count of Month</t>
  </si>
  <si>
    <t>avg fat per acc</t>
  </si>
  <si>
    <t>Trends in SI</t>
  </si>
  <si>
    <t>Count of Trends in SI</t>
  </si>
  <si>
    <t>Fatal</t>
  </si>
  <si>
    <t>Non-Fatal</t>
  </si>
  <si>
    <t>Total accidents</t>
  </si>
  <si>
    <t>Total Fatalities</t>
  </si>
  <si>
    <t>Accident by year</t>
  </si>
  <si>
    <t>Fatalities by year</t>
  </si>
  <si>
    <t>Top operators involved</t>
  </si>
  <si>
    <t>Accident severity</t>
  </si>
  <si>
    <t>Monthly dist of accidents</t>
  </si>
  <si>
    <t>Average fatalities per accident</t>
  </si>
  <si>
    <t>Operator-specific fatality rate</t>
  </si>
  <si>
    <t>Corr between the aircraft and fatality</t>
  </si>
  <si>
    <t>Trends in safety improvement</t>
  </si>
  <si>
    <t>Qtr1</t>
  </si>
  <si>
    <t>Qtr2</t>
  </si>
  <si>
    <t>Qtr3</t>
  </si>
  <si>
    <t>Qtr4</t>
  </si>
  <si>
    <t>Air-craft Data Analysis</t>
  </si>
  <si>
    <t>key</t>
  </si>
  <si>
    <t>NAF034-1229</t>
  </si>
  <si>
    <t>Nguru</t>
  </si>
  <si>
    <t>NAF-017</t>
  </si>
  <si>
    <t>5 km from Kaduna Airport (KAD)</t>
  </si>
  <si>
    <t>Fokker F-27 Friendship 200MP</t>
  </si>
  <si>
    <t>NAF908</t>
  </si>
  <si>
    <t>Federal Nigerian Air Force</t>
  </si>
  <si>
    <t>NAF911</t>
  </si>
  <si>
    <t>ca 7 km SSW of Lagos-Murtala Muhammed International Airport</t>
  </si>
  <si>
    <t>Fokker F-27 Friendship 400M</t>
  </si>
  <si>
    <t>NAF904</t>
  </si>
  <si>
    <t>SE off Lagos</t>
  </si>
  <si>
    <t>1997</t>
  </si>
  <si>
    <t>1995</t>
  </si>
  <si>
    <t>1992</t>
  </si>
  <si>
    <t>1980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</si>
</sst>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36"/>
      <color theme="4" tint="-0.249977111117893"/>
      <name val="Palatino Linotype"/>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4" fontId="0" fillId="0" borderId="0" xfId="0" applyNumberFormat="1"/>
    <xf numFmtId="0" fontId="0" fillId="0" borderId="0" xfId="0" applyAlignment="1">
      <alignment horizontal="center"/>
    </xf>
    <xf numFmtId="0" fontId="0" fillId="0" borderId="0" xfId="0" pivotButton="1"/>
    <xf numFmtId="0" fontId="0" fillId="0" borderId="0" xfId="0" applyAlignment="1">
      <alignment horizontal="left"/>
    </xf>
    <xf numFmtId="0" fontId="0" fillId="33" borderId="0" xfId="0" applyFill="1"/>
    <xf numFmtId="0" fontId="0" fillId="0" borderId="0" xfId="0" applyNumberFormat="1"/>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xf>
    <xf numFmtId="0" fontId="18"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numFmt numFmtId="0" formatCode="General"/>
    </dxf>
    <dxf>
      <alignment horizontal="center" vertical="center" textRotation="0" wrapText="0" indent="0" justifyLastLine="0" shrinkToFit="0" readingOrder="0"/>
    </dxf>
    <dxf>
      <numFmt numFmtId="19" formatCode="m/d/yyyy"/>
    </dxf>
    <dxf>
      <numFmt numFmtId="19" formatCode="m/d/yyyy"/>
    </dxf>
    <dxf>
      <numFmt numFmtId="19" formatCode="m/d/yyyy"/>
    </dxf>
    <dxf>
      <font>
        <b/>
        <i val="0"/>
        <sz val="12"/>
      </font>
    </dxf>
    <dxf>
      <border diagonalUp="0" diagonalDown="0">
        <left/>
        <right/>
        <top/>
        <bottom/>
        <vertical/>
        <horizontal/>
      </border>
    </dxf>
  </dxfs>
  <tableStyles count="1" defaultTableStyle="TableStyleMedium2" defaultPivotStyle="PivotStyleLight16">
    <tableStyle name="Slicer Style 1" pivot="0" table="0" count="4" xr9:uid="{92DE91B8-026A-432A-B7D0-395010A64123}">
      <tableStyleElement type="wholeTable" dxfId="6"/>
      <tableStyleElement type="headerRow" dxfId="5"/>
    </tableStyle>
  </tableStyles>
  <extLst>
    <ext xmlns:x14="http://schemas.microsoft.com/office/spreadsheetml/2009/9/main" uri="{46F421CA-312F-682f-3DD2-61675219B42D}">
      <x14:dxfs count="2">
        <dxf>
          <fill>
            <patternFill>
              <bgColor theme="8" tint="0.79998168889431442"/>
            </patternFill>
          </fill>
        </dxf>
        <dxf>
          <font>
            <b/>
            <i val="0"/>
            <sz val="11"/>
          </font>
          <fill>
            <patternFill>
              <bgColor theme="8" tint="0.39994506668294322"/>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 Style 1">
          <x14:slicerStyleElements>
            <x14:slicerStyleElement type="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[nigerian_air_accidents ().xlsx]Analysis!fatalities by year</c:name>
    <c:fmtId val="11"/>
  </c:pivotSource>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Fatality trends by year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layout>
            <c:manualLayout>
              <c:x val="-3.2218091697645647E-2"/>
              <c:y val="-5.092592592592594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layout>
            <c:manualLayout>
              <c:x val="-3.2218091697645647E-2"/>
              <c:y val="-5.092592592592594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layout>
            <c:manualLayout>
              <c:x val="-3.2218091697645647E-2"/>
              <c:y val="-5.092592592592594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layout>
            <c:manualLayout>
              <c:x val="-3.2218091697645647E-2"/>
              <c:y val="-5.092592592592594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pivotFmt>
      <c:pivotFmt>
        <c:idx val="12"/>
        <c:spPr>
          <a:ln w="28575" cap="rnd">
            <a:solidFill>
              <a:schemeClr val="accent1"/>
            </a:solidFill>
            <a:round/>
          </a:ln>
          <a:effectLst/>
        </c:spPr>
        <c:marker>
          <c:symbol val="none"/>
        </c:marker>
      </c:pivotFmt>
      <c:pivotFmt>
        <c:idx val="13"/>
        <c:spPr>
          <a:ln w="28575" cap="rnd">
            <a:solidFill>
              <a:schemeClr val="accent1"/>
            </a:solidFill>
            <a:round/>
          </a:ln>
          <a:effectLst/>
        </c:spPr>
        <c:marker>
          <c:symbol val="none"/>
        </c:marker>
      </c:pivotFmt>
      <c:pivotFmt>
        <c:idx val="14"/>
        <c:spPr>
          <a:ln w="28575" cap="rnd">
            <a:solidFill>
              <a:schemeClr val="accent1"/>
            </a:solidFill>
            <a:round/>
          </a:ln>
          <a:effectLst/>
        </c:spPr>
        <c:marker>
          <c:symbol val="none"/>
        </c:marker>
      </c:pivotFmt>
    </c:pivotFmts>
    <c:plotArea>
      <c:layout/>
      <c:lineChart>
        <c:grouping val="standard"/>
        <c:varyColors val="0"/>
        <c:ser>
          <c:idx val="0"/>
          <c:order val="0"/>
          <c:tx>
            <c:strRef>
              <c:f>Analysis!$E$7</c:f>
              <c:strCache>
                <c:ptCount val="1"/>
                <c:pt idx="0">
                  <c:v>Total</c:v>
                </c:pt>
              </c:strCache>
            </c:strRef>
          </c:tx>
          <c:spPr>
            <a:ln w="28575" cap="rnd">
              <a:solidFill>
                <a:schemeClr val="accent1"/>
              </a:solidFill>
              <a:round/>
            </a:ln>
            <a:effectLst/>
          </c:spPr>
          <c:marker>
            <c:symbol val="none"/>
          </c:marker>
          <c:dPt>
            <c:idx val="2"/>
            <c:marker>
              <c:symbol val="none"/>
            </c:marker>
            <c:bubble3D val="0"/>
            <c:spPr>
              <a:ln w="28575" cap="rnd">
                <a:solidFill>
                  <a:schemeClr val="accent1"/>
                </a:solidFill>
                <a:round/>
              </a:ln>
              <a:effectLst/>
            </c:spPr>
            <c:extLst>
              <c:ext xmlns:c16="http://schemas.microsoft.com/office/drawing/2014/chart" uri="{C3380CC4-5D6E-409C-BE32-E72D297353CC}">
                <c16:uniqueId val="{00000004-91BA-4AA4-A976-FDDB35BBB3E2}"/>
              </c:ext>
            </c:extLst>
          </c:dPt>
          <c:dPt>
            <c:idx val="5"/>
            <c:marker>
              <c:symbol val="none"/>
            </c:marker>
            <c:bubble3D val="0"/>
            <c:spPr>
              <a:ln w="28575" cap="rnd">
                <a:solidFill>
                  <a:schemeClr val="accent1"/>
                </a:solidFill>
                <a:round/>
              </a:ln>
              <a:effectLst/>
            </c:spPr>
            <c:extLst>
              <c:ext xmlns:c16="http://schemas.microsoft.com/office/drawing/2014/chart" uri="{C3380CC4-5D6E-409C-BE32-E72D297353CC}">
                <c16:uniqueId val="{00000001-91BA-4AA4-A976-FDDB35BBB3E2}"/>
              </c:ext>
            </c:extLst>
          </c:dPt>
          <c:dPt>
            <c:idx val="11"/>
            <c:marker>
              <c:symbol val="none"/>
            </c:marker>
            <c:bubble3D val="0"/>
            <c:spPr>
              <a:ln w="28575" cap="rnd">
                <a:solidFill>
                  <a:schemeClr val="accent1"/>
                </a:solidFill>
                <a:round/>
              </a:ln>
              <a:effectLst/>
            </c:spPr>
            <c:extLst>
              <c:ext xmlns:c16="http://schemas.microsoft.com/office/drawing/2014/chart" uri="{C3380CC4-5D6E-409C-BE32-E72D297353CC}">
                <c16:uniqueId val="{00000003-91BA-4AA4-A976-FDDB35BBB3E2}"/>
              </c:ext>
            </c:extLst>
          </c:dPt>
          <c:dPt>
            <c:idx val="13"/>
            <c:marker>
              <c:symbol val="none"/>
            </c:marker>
            <c:bubble3D val="0"/>
            <c:spPr>
              <a:ln w="28575" cap="rnd">
                <a:solidFill>
                  <a:schemeClr val="accent1"/>
                </a:solidFill>
                <a:round/>
              </a:ln>
              <a:effectLst/>
            </c:spPr>
            <c:extLst>
              <c:ext xmlns:c16="http://schemas.microsoft.com/office/drawing/2014/chart" uri="{C3380CC4-5D6E-409C-BE32-E72D297353CC}">
                <c16:uniqueId val="{00000005-91BA-4AA4-A976-FDDB35BBB3E2}"/>
              </c:ext>
            </c:extLst>
          </c:dPt>
          <c:cat>
            <c:strRef>
              <c:f>Analysis!$D$8:$D$28</c:f>
              <c:strCache>
                <c:ptCount val="20"/>
                <c:pt idx="0">
                  <c:v>2000</c:v>
                </c:pt>
                <c:pt idx="1">
                  <c:v>2001</c:v>
                </c:pt>
                <c:pt idx="2">
                  <c:v>2002</c:v>
                </c:pt>
                <c:pt idx="3">
                  <c:v>2003</c:v>
                </c:pt>
                <c:pt idx="4">
                  <c:v>2004</c:v>
                </c:pt>
                <c:pt idx="5">
                  <c:v>2005</c:v>
                </c:pt>
                <c:pt idx="6">
                  <c:v>2006</c:v>
                </c:pt>
                <c:pt idx="7">
                  <c:v>2008</c:v>
                </c:pt>
                <c:pt idx="8">
                  <c:v>2009</c:v>
                </c:pt>
                <c:pt idx="9">
                  <c:v>2010</c:v>
                </c:pt>
                <c:pt idx="10">
                  <c:v>2011</c:v>
                </c:pt>
                <c:pt idx="11">
                  <c:v>2012</c:v>
                </c:pt>
                <c:pt idx="12">
                  <c:v>2013</c:v>
                </c:pt>
                <c:pt idx="13">
                  <c:v>2014</c:v>
                </c:pt>
                <c:pt idx="14">
                  <c:v>2015</c:v>
                </c:pt>
                <c:pt idx="15">
                  <c:v>2018</c:v>
                </c:pt>
                <c:pt idx="16">
                  <c:v>2019</c:v>
                </c:pt>
                <c:pt idx="17">
                  <c:v>2021</c:v>
                </c:pt>
                <c:pt idx="18">
                  <c:v>2023</c:v>
                </c:pt>
                <c:pt idx="19">
                  <c:v>2024</c:v>
                </c:pt>
              </c:strCache>
            </c:strRef>
          </c:cat>
          <c:val>
            <c:numRef>
              <c:f>Analysis!$E$8:$E$28</c:f>
              <c:numCache>
                <c:formatCode>General</c:formatCode>
                <c:ptCount val="20"/>
                <c:pt idx="0">
                  <c:v>2</c:v>
                </c:pt>
                <c:pt idx="1">
                  <c:v>1</c:v>
                </c:pt>
                <c:pt idx="2">
                  <c:v>108</c:v>
                </c:pt>
                <c:pt idx="3">
                  <c:v>0</c:v>
                </c:pt>
                <c:pt idx="4">
                  <c:v>0</c:v>
                </c:pt>
                <c:pt idx="5">
                  <c:v>227</c:v>
                </c:pt>
                <c:pt idx="6">
                  <c:v>109</c:v>
                </c:pt>
                <c:pt idx="7">
                  <c:v>3</c:v>
                </c:pt>
                <c:pt idx="8">
                  <c:v>0</c:v>
                </c:pt>
                <c:pt idx="9">
                  <c:v>0</c:v>
                </c:pt>
                <c:pt idx="10">
                  <c:v>0</c:v>
                </c:pt>
                <c:pt idx="11">
                  <c:v>159</c:v>
                </c:pt>
                <c:pt idx="12">
                  <c:v>16</c:v>
                </c:pt>
                <c:pt idx="13">
                  <c:v>0</c:v>
                </c:pt>
                <c:pt idx="14">
                  <c:v>7</c:v>
                </c:pt>
                <c:pt idx="15">
                  <c:v>0</c:v>
                </c:pt>
                <c:pt idx="16">
                  <c:v>0</c:v>
                </c:pt>
                <c:pt idx="17">
                  <c:v>18</c:v>
                </c:pt>
                <c:pt idx="18">
                  <c:v>0</c:v>
                </c:pt>
                <c:pt idx="19">
                  <c:v>0</c:v>
                </c:pt>
              </c:numCache>
            </c:numRef>
          </c:val>
          <c:smooth val="1"/>
          <c:extLst>
            <c:ext xmlns:c16="http://schemas.microsoft.com/office/drawing/2014/chart" uri="{C3380CC4-5D6E-409C-BE32-E72D297353CC}">
              <c16:uniqueId val="{00000002-91BA-4AA4-A976-FDDB35BBB3E2}"/>
            </c:ext>
          </c:extLst>
        </c:ser>
        <c:dLbls>
          <c:showLegendKey val="0"/>
          <c:showVal val="0"/>
          <c:showCatName val="0"/>
          <c:showSerName val="0"/>
          <c:showPercent val="0"/>
          <c:showBubbleSize val="0"/>
        </c:dLbls>
        <c:smooth val="0"/>
        <c:axId val="930069471"/>
        <c:axId val="930073311"/>
      </c:lineChart>
      <c:catAx>
        <c:axId val="930069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30073311"/>
        <c:crosses val="autoZero"/>
        <c:auto val="1"/>
        <c:lblAlgn val="ctr"/>
        <c:lblOffset val="100"/>
        <c:noMultiLvlLbl val="0"/>
      </c:catAx>
      <c:valAx>
        <c:axId val="930073311"/>
        <c:scaling>
          <c:orientation val="minMax"/>
          <c:min val="-5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300694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[nigerian_air_accidents ().xlsx]Analysis!accident by year</c:name>
    <c:fmtId val="11"/>
  </c:pivotSource>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Accident trends by year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Analysis!$B$9</c:f>
              <c:strCache>
                <c:ptCount val="1"/>
                <c:pt idx="0">
                  <c:v>Total</c:v>
                </c:pt>
              </c:strCache>
            </c:strRef>
          </c:tx>
          <c:spPr>
            <a:ln w="28575" cap="rnd">
              <a:solidFill>
                <a:schemeClr val="accent1"/>
              </a:solidFill>
              <a:round/>
            </a:ln>
            <a:effectLst/>
          </c:spPr>
          <c:marker>
            <c:symbol val="none"/>
          </c:marker>
          <c:cat>
            <c:strRef>
              <c:f>Analysis!$A$10:$A$29</c:f>
              <c:strCache>
                <c:ptCount val="20"/>
                <c:pt idx="0">
                  <c:v>2000</c:v>
                </c:pt>
                <c:pt idx="1">
                  <c:v>2001</c:v>
                </c:pt>
                <c:pt idx="2">
                  <c:v>2002</c:v>
                </c:pt>
                <c:pt idx="3">
                  <c:v>2003</c:v>
                </c:pt>
                <c:pt idx="4">
                  <c:v>2004</c:v>
                </c:pt>
                <c:pt idx="5">
                  <c:v>2005</c:v>
                </c:pt>
                <c:pt idx="6">
                  <c:v>2006</c:v>
                </c:pt>
                <c:pt idx="7">
                  <c:v>2008</c:v>
                </c:pt>
                <c:pt idx="8">
                  <c:v>2009</c:v>
                </c:pt>
                <c:pt idx="9">
                  <c:v>2010</c:v>
                </c:pt>
                <c:pt idx="10">
                  <c:v>2011</c:v>
                </c:pt>
                <c:pt idx="11">
                  <c:v>2012</c:v>
                </c:pt>
                <c:pt idx="12">
                  <c:v>2013</c:v>
                </c:pt>
                <c:pt idx="13">
                  <c:v>2014</c:v>
                </c:pt>
                <c:pt idx="14">
                  <c:v>2015</c:v>
                </c:pt>
                <c:pt idx="15">
                  <c:v>2018</c:v>
                </c:pt>
                <c:pt idx="16">
                  <c:v>2019</c:v>
                </c:pt>
                <c:pt idx="17">
                  <c:v>2021</c:v>
                </c:pt>
                <c:pt idx="18">
                  <c:v>2023</c:v>
                </c:pt>
                <c:pt idx="19">
                  <c:v>2024</c:v>
                </c:pt>
              </c:strCache>
            </c:strRef>
          </c:cat>
          <c:val>
            <c:numRef>
              <c:f>Analysis!$B$10:$B$29</c:f>
              <c:numCache>
                <c:formatCode>General</c:formatCode>
                <c:ptCount val="20"/>
                <c:pt idx="0">
                  <c:v>4</c:v>
                </c:pt>
                <c:pt idx="1">
                  <c:v>4</c:v>
                </c:pt>
                <c:pt idx="2">
                  <c:v>4</c:v>
                </c:pt>
                <c:pt idx="3">
                  <c:v>2</c:v>
                </c:pt>
                <c:pt idx="4">
                  <c:v>1</c:v>
                </c:pt>
                <c:pt idx="5">
                  <c:v>5</c:v>
                </c:pt>
                <c:pt idx="6">
                  <c:v>3</c:v>
                </c:pt>
                <c:pt idx="7">
                  <c:v>2</c:v>
                </c:pt>
                <c:pt idx="8">
                  <c:v>1</c:v>
                </c:pt>
                <c:pt idx="9">
                  <c:v>1</c:v>
                </c:pt>
                <c:pt idx="10">
                  <c:v>2</c:v>
                </c:pt>
                <c:pt idx="11">
                  <c:v>2</c:v>
                </c:pt>
                <c:pt idx="12">
                  <c:v>2</c:v>
                </c:pt>
                <c:pt idx="13">
                  <c:v>1</c:v>
                </c:pt>
                <c:pt idx="14">
                  <c:v>2</c:v>
                </c:pt>
                <c:pt idx="15">
                  <c:v>4</c:v>
                </c:pt>
                <c:pt idx="16">
                  <c:v>1</c:v>
                </c:pt>
                <c:pt idx="17">
                  <c:v>3</c:v>
                </c:pt>
                <c:pt idx="18">
                  <c:v>1</c:v>
                </c:pt>
                <c:pt idx="19">
                  <c:v>1</c:v>
                </c:pt>
              </c:numCache>
            </c:numRef>
          </c:val>
          <c:smooth val="1"/>
          <c:extLst>
            <c:ext xmlns:c16="http://schemas.microsoft.com/office/drawing/2014/chart" uri="{C3380CC4-5D6E-409C-BE32-E72D297353CC}">
              <c16:uniqueId val="{00000000-7A7F-4088-96B9-0E08F9692D13}"/>
            </c:ext>
          </c:extLst>
        </c:ser>
        <c:dLbls>
          <c:showLegendKey val="0"/>
          <c:showVal val="0"/>
          <c:showCatName val="0"/>
          <c:showSerName val="0"/>
          <c:showPercent val="0"/>
          <c:showBubbleSize val="0"/>
        </c:dLbls>
        <c:smooth val="0"/>
        <c:axId val="1090828991"/>
        <c:axId val="1090823711"/>
      </c:lineChart>
      <c:catAx>
        <c:axId val="1090828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090823711"/>
        <c:crosses val="autoZero"/>
        <c:auto val="1"/>
        <c:lblAlgn val="ctr"/>
        <c:lblOffset val="100"/>
        <c:noMultiLvlLbl val="0"/>
      </c:catAx>
      <c:valAx>
        <c:axId val="10908237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090828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[nigerian_air_accidents ().xlsx]Analysis!operator specific fatality rate</c:name>
    <c:fmtId val="5"/>
  </c:pivotSource>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Total</a:t>
            </a:r>
            <a:r>
              <a:rPr lang="en-US" sz="1200" b="1" baseline="0"/>
              <a:t> fatality per Operator</a:t>
            </a:r>
            <a:endParaRPr lang="en-US" sz="1200" b="1"/>
          </a:p>
        </c:rich>
      </c:tx>
      <c:layout>
        <c:manualLayout>
          <c:xMode val="edge"/>
          <c:yMode val="edge"/>
          <c:x val="0.36256233595800519"/>
          <c:y val="2.7777777777777776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flip="none" rotWithShape="1">
            <a:gsLst>
              <a:gs pos="49000">
                <a:schemeClr val="accent6">
                  <a:lumMod val="50000"/>
                </a:schemeClr>
              </a:gs>
              <a:gs pos="15000">
                <a:schemeClr val="accent1"/>
              </a:gs>
            </a:gsLst>
            <a:lin ang="0" scaled="1"/>
            <a:tileRect/>
          </a:gra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38204177602799644"/>
                  <c:h val="0.12689814814814815"/>
                </c:manualLayout>
              </c15:layout>
            </c:ext>
          </c:extLst>
        </c:dLbl>
      </c:pivotFmt>
    </c:pivotFmts>
    <c:plotArea>
      <c:layout/>
      <c:barChart>
        <c:barDir val="bar"/>
        <c:grouping val="clustered"/>
        <c:varyColors val="0"/>
        <c:ser>
          <c:idx val="0"/>
          <c:order val="0"/>
          <c:tx>
            <c:strRef>
              <c:f>Analysis!$Z$9</c:f>
              <c:strCache>
                <c:ptCount val="1"/>
                <c:pt idx="0">
                  <c:v>Total</c:v>
                </c:pt>
              </c:strCache>
            </c:strRef>
          </c:tx>
          <c:spPr>
            <a:solidFill>
              <a:schemeClr val="accent1"/>
            </a:solidFill>
            <a:ln>
              <a:noFill/>
            </a:ln>
            <a:effectLst/>
          </c:spPr>
          <c:invertIfNegative val="0"/>
          <c:dPt>
            <c:idx val="8"/>
            <c:invertIfNegative val="0"/>
            <c:bubble3D val="0"/>
            <c:spPr>
              <a:gradFill flip="none" rotWithShape="1">
                <a:gsLst>
                  <a:gs pos="49000">
                    <a:schemeClr val="accent6">
                      <a:lumMod val="50000"/>
                    </a:schemeClr>
                  </a:gs>
                  <a:gs pos="15000">
                    <a:schemeClr val="accent1"/>
                  </a:gs>
                </a:gsLst>
                <a:lin ang="0" scaled="1"/>
                <a:tileRect/>
              </a:gradFill>
              <a:ln>
                <a:noFill/>
              </a:ln>
              <a:effectLst/>
            </c:spPr>
            <c:extLst>
              <c:ext xmlns:c16="http://schemas.microsoft.com/office/drawing/2014/chart" uri="{C3380CC4-5D6E-409C-BE32-E72D297353CC}">
                <c16:uniqueId val="{00000001-29F4-4F35-89C3-D023972CF5CA}"/>
              </c:ext>
            </c:extLst>
          </c:dPt>
          <c:dLbls>
            <c:dLbl>
              <c:idx val="8"/>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38204177602799644"/>
                      <c:h val="0.12689814814814815"/>
                    </c:manualLayout>
                  </c15:layout>
                </c:ext>
                <c:ext xmlns:c16="http://schemas.microsoft.com/office/drawing/2014/chart" uri="{C3380CC4-5D6E-409C-BE32-E72D297353CC}">
                  <c16:uniqueId val="{00000001-29F4-4F35-89C3-D023972CF5CA}"/>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Analysis!$Y$10:$Y$18</c:f>
              <c:strCache>
                <c:ptCount val="9"/>
                <c:pt idx="0">
                  <c:v>Sky Executive Airlines</c:v>
                </c:pt>
                <c:pt idx="1">
                  <c:v>Associated Aviation</c:v>
                </c:pt>
                <c:pt idx="2">
                  <c:v>Federal Nigerian Air Force</c:v>
                </c:pt>
                <c:pt idx="3">
                  <c:v>ADC Airlines</c:v>
                </c:pt>
                <c:pt idx="4">
                  <c:v>EAS Airlines</c:v>
                </c:pt>
                <c:pt idx="5">
                  <c:v>Sosoliso Airlines</c:v>
                </c:pt>
                <c:pt idx="6">
                  <c:v>Bellview Airlines</c:v>
                </c:pt>
                <c:pt idx="7">
                  <c:v>Dana Air</c:v>
                </c:pt>
                <c:pt idx="8">
                  <c:v>Nigerian Air Force - NAF</c:v>
                </c:pt>
              </c:strCache>
            </c:strRef>
          </c:cat>
          <c:val>
            <c:numRef>
              <c:f>Analysis!$Z$10:$Z$18</c:f>
              <c:numCache>
                <c:formatCode>General</c:formatCode>
                <c:ptCount val="9"/>
                <c:pt idx="0">
                  <c:v>5</c:v>
                </c:pt>
                <c:pt idx="1">
                  <c:v>16</c:v>
                </c:pt>
                <c:pt idx="2">
                  <c:v>18</c:v>
                </c:pt>
                <c:pt idx="3">
                  <c:v>96</c:v>
                </c:pt>
                <c:pt idx="4">
                  <c:v>103</c:v>
                </c:pt>
                <c:pt idx="5">
                  <c:v>108</c:v>
                </c:pt>
                <c:pt idx="6">
                  <c:v>117</c:v>
                </c:pt>
                <c:pt idx="7">
                  <c:v>159</c:v>
                </c:pt>
                <c:pt idx="8">
                  <c:v>200</c:v>
                </c:pt>
              </c:numCache>
            </c:numRef>
          </c:val>
          <c:extLst>
            <c:ext xmlns:c16="http://schemas.microsoft.com/office/drawing/2014/chart" uri="{C3380CC4-5D6E-409C-BE32-E72D297353CC}">
              <c16:uniqueId val="{00000005-DB20-421F-B316-E6FB807E8D12}"/>
            </c:ext>
          </c:extLst>
        </c:ser>
        <c:dLbls>
          <c:showLegendKey val="0"/>
          <c:showVal val="0"/>
          <c:showCatName val="0"/>
          <c:showSerName val="0"/>
          <c:showPercent val="0"/>
          <c:showBubbleSize val="0"/>
        </c:dLbls>
        <c:gapWidth val="30"/>
        <c:axId val="707871999"/>
        <c:axId val="707869599"/>
      </c:barChart>
      <c:catAx>
        <c:axId val="7078719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707869599"/>
        <c:crosses val="autoZero"/>
        <c:auto val="1"/>
        <c:lblAlgn val="ctr"/>
        <c:lblOffset val="100"/>
        <c:noMultiLvlLbl val="0"/>
      </c:catAx>
      <c:valAx>
        <c:axId val="70786959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7078719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[nigerian_air_accidents ().xlsx]Analysis!aircraft type and fatality</c:name>
    <c:fmtId val="5"/>
  </c:pivotSource>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Aircraft type &amp; fatality dist.</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Analysis!$AC$9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Analysis!$AB$10:$AB$19</c:f>
              <c:strCache>
                <c:ptCount val="10"/>
                <c:pt idx="0">
                  <c:v>BAC One-Eleven 525FT</c:v>
                </c:pt>
                <c:pt idx="1">
                  <c:v>Beechcraft B300 King Air 350i</c:v>
                </c:pt>
                <c:pt idx="2">
                  <c:v>Boeing 737-2B7</c:v>
                </c:pt>
                <c:pt idx="3">
                  <c:v>Boeing 737-2L9</c:v>
                </c:pt>
                <c:pt idx="4">
                  <c:v>Dornier 228-212</c:v>
                </c:pt>
                <c:pt idx="5">
                  <c:v>Embraer EMB-120RT Brasilia</c:v>
                </c:pt>
                <c:pt idx="6">
                  <c:v>Lockheed C-130H Hercules</c:v>
                </c:pt>
                <c:pt idx="7">
                  <c:v>McDonnell Douglas DC-9-32</c:v>
                </c:pt>
                <c:pt idx="8">
                  <c:v>McDonnell Douglas DC-9-83 (MD-83)</c:v>
                </c:pt>
                <c:pt idx="9">
                  <c:v>Fokker F-27 Friendship 400M</c:v>
                </c:pt>
              </c:strCache>
            </c:strRef>
          </c:cat>
          <c:val>
            <c:numRef>
              <c:f>Analysis!$AC$10:$AC$19</c:f>
              <c:numCache>
                <c:formatCode>General</c:formatCode>
                <c:ptCount val="10"/>
                <c:pt idx="0">
                  <c:v>103</c:v>
                </c:pt>
                <c:pt idx="1">
                  <c:v>11</c:v>
                </c:pt>
                <c:pt idx="2">
                  <c:v>96</c:v>
                </c:pt>
                <c:pt idx="3">
                  <c:v>117</c:v>
                </c:pt>
                <c:pt idx="4">
                  <c:v>20</c:v>
                </c:pt>
                <c:pt idx="5">
                  <c:v>16</c:v>
                </c:pt>
                <c:pt idx="6">
                  <c:v>159</c:v>
                </c:pt>
                <c:pt idx="7">
                  <c:v>108</c:v>
                </c:pt>
                <c:pt idx="8">
                  <c:v>159</c:v>
                </c:pt>
                <c:pt idx="9">
                  <c:v>18</c:v>
                </c:pt>
              </c:numCache>
            </c:numRef>
          </c:val>
          <c:extLst>
            <c:ext xmlns:c16="http://schemas.microsoft.com/office/drawing/2014/chart" uri="{C3380CC4-5D6E-409C-BE32-E72D297353CC}">
              <c16:uniqueId val="{00000003-7A6C-4DFE-A375-C5BE50E8C946}"/>
            </c:ext>
          </c:extLst>
        </c:ser>
        <c:dLbls>
          <c:showLegendKey val="0"/>
          <c:showVal val="0"/>
          <c:showCatName val="0"/>
          <c:showSerName val="0"/>
          <c:showPercent val="0"/>
          <c:showBubbleSize val="0"/>
        </c:dLbls>
        <c:gapWidth val="30"/>
        <c:axId val="904720048"/>
        <c:axId val="904724368"/>
      </c:barChart>
      <c:catAx>
        <c:axId val="9047200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04724368"/>
        <c:crosses val="autoZero"/>
        <c:auto val="1"/>
        <c:lblAlgn val="ctr"/>
        <c:lblOffset val="100"/>
        <c:noMultiLvlLbl val="0"/>
      </c:catAx>
      <c:valAx>
        <c:axId val="9047243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04720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[nigerian_air_accidents ().xlsx]Analysis!top operators involved</c:name>
    <c:fmtId val="9"/>
  </c:pivotSource>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Top 5</a:t>
            </a:r>
            <a:r>
              <a:rPr lang="en-US" sz="1200" b="1" baseline="0"/>
              <a:t> operators involved in accident</a:t>
            </a:r>
            <a:endParaRPr lang="en-US" sz="1200" b="1"/>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flip="none" rotWithShape="1">
            <a:gsLst>
              <a:gs pos="39000">
                <a:schemeClr val="accent6">
                  <a:lumMod val="50000"/>
                </a:schemeClr>
              </a:gs>
              <a:gs pos="72000">
                <a:schemeClr val="accent1"/>
              </a:gs>
            </a:gsLst>
            <a:lin ang="5400000" scaled="1"/>
            <a:tileRect/>
          </a:gra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layout>
                <c:manualLayout>
                  <c:w val="0.39261111111111113"/>
                  <c:h val="0.13259259259259257"/>
                </c:manualLayout>
              </c15:layout>
            </c:ext>
          </c:extLst>
        </c:dLbl>
      </c:pivotFmt>
    </c:pivotFmts>
    <c:plotArea>
      <c:layout/>
      <c:barChart>
        <c:barDir val="col"/>
        <c:grouping val="clustered"/>
        <c:varyColors val="0"/>
        <c:ser>
          <c:idx val="0"/>
          <c:order val="0"/>
          <c:tx>
            <c:strRef>
              <c:f>Analysis!$H$9</c:f>
              <c:strCache>
                <c:ptCount val="1"/>
                <c:pt idx="0">
                  <c:v>Total</c:v>
                </c:pt>
              </c:strCache>
            </c:strRef>
          </c:tx>
          <c:spPr>
            <a:solidFill>
              <a:schemeClr val="accent1"/>
            </a:solidFill>
            <a:ln>
              <a:noFill/>
            </a:ln>
            <a:effectLst/>
          </c:spPr>
          <c:invertIfNegative val="0"/>
          <c:dPt>
            <c:idx val="0"/>
            <c:invertIfNegative val="0"/>
            <c:bubble3D val="0"/>
            <c:spPr>
              <a:gradFill flip="none" rotWithShape="1">
                <a:gsLst>
                  <a:gs pos="39000">
                    <a:schemeClr val="accent6">
                      <a:lumMod val="50000"/>
                    </a:schemeClr>
                  </a:gs>
                  <a:gs pos="72000">
                    <a:schemeClr val="accent1"/>
                  </a:gs>
                </a:gsLst>
                <a:lin ang="5400000" scaled="1"/>
                <a:tileRect/>
              </a:gradFill>
              <a:ln>
                <a:noFill/>
              </a:ln>
              <a:effectLst/>
            </c:spPr>
            <c:extLst>
              <c:ext xmlns:c16="http://schemas.microsoft.com/office/drawing/2014/chart" uri="{C3380CC4-5D6E-409C-BE32-E72D297353CC}">
                <c16:uniqueId val="{00000000-74B0-42B1-AE15-605C5A1BE5EC}"/>
              </c:ext>
            </c:extLst>
          </c:dPt>
          <c:dLbls>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layout>
                    <c:manualLayout>
                      <c:w val="0.39261111111111113"/>
                      <c:h val="0.13259259259259257"/>
                    </c:manualLayout>
                  </c15:layout>
                </c:ext>
                <c:ext xmlns:c16="http://schemas.microsoft.com/office/drawing/2014/chart" uri="{C3380CC4-5D6E-409C-BE32-E72D297353CC}">
                  <c16:uniqueId val="{00000000-74B0-42B1-AE15-605C5A1BE5EC}"/>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Analysis!$G$10:$G$16</c:f>
              <c:strCache>
                <c:ptCount val="7"/>
                <c:pt idx="0">
                  <c:v>Nigerian Air Force - NAF</c:v>
                </c:pt>
                <c:pt idx="1">
                  <c:v>Skypower Express Airways</c:v>
                </c:pt>
                <c:pt idx="2">
                  <c:v>Federal Nigerian Air Force</c:v>
                </c:pt>
                <c:pt idx="3">
                  <c:v>Wings Aviation</c:v>
                </c:pt>
                <c:pt idx="4">
                  <c:v>Dana Air</c:v>
                </c:pt>
                <c:pt idx="5">
                  <c:v>Chanchangi Airlines</c:v>
                </c:pt>
                <c:pt idx="6">
                  <c:v>Associated Aviation</c:v>
                </c:pt>
              </c:strCache>
            </c:strRef>
          </c:cat>
          <c:val>
            <c:numRef>
              <c:f>Analysis!$H$10:$H$16</c:f>
              <c:numCache>
                <c:formatCode>General</c:formatCode>
                <c:ptCount val="7"/>
                <c:pt idx="0">
                  <c:v>10</c:v>
                </c:pt>
                <c:pt idx="1">
                  <c:v>2</c:v>
                </c:pt>
                <c:pt idx="2">
                  <c:v>2</c:v>
                </c:pt>
                <c:pt idx="3">
                  <c:v>2</c:v>
                </c:pt>
                <c:pt idx="4">
                  <c:v>2</c:v>
                </c:pt>
                <c:pt idx="5">
                  <c:v>2</c:v>
                </c:pt>
                <c:pt idx="6">
                  <c:v>2</c:v>
                </c:pt>
              </c:numCache>
            </c:numRef>
          </c:val>
          <c:extLst>
            <c:ext xmlns:c16="http://schemas.microsoft.com/office/drawing/2014/chart" uri="{C3380CC4-5D6E-409C-BE32-E72D297353CC}">
              <c16:uniqueId val="{00000000-3A7C-421A-9E04-AA380C3DEE07}"/>
            </c:ext>
          </c:extLst>
        </c:ser>
        <c:dLbls>
          <c:showLegendKey val="0"/>
          <c:showVal val="0"/>
          <c:showCatName val="0"/>
          <c:showSerName val="0"/>
          <c:showPercent val="0"/>
          <c:showBubbleSize val="0"/>
        </c:dLbls>
        <c:gapWidth val="50"/>
        <c:overlap val="-27"/>
        <c:axId val="1090818431"/>
        <c:axId val="1090825151"/>
      </c:barChart>
      <c:catAx>
        <c:axId val="1090818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090825151"/>
        <c:crosses val="autoZero"/>
        <c:auto val="1"/>
        <c:lblAlgn val="ctr"/>
        <c:lblOffset val="100"/>
        <c:noMultiLvlLbl val="0"/>
      </c:catAx>
      <c:valAx>
        <c:axId val="109082515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090818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[nigerian_air_accidents ().xlsx]Analysis!accident severity</c:name>
    <c:fmtId val="5"/>
  </c:pivotSource>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Accident severity</a:t>
            </a:r>
          </a:p>
        </c:rich>
      </c:tx>
      <c:layout>
        <c:manualLayout>
          <c:xMode val="edge"/>
          <c:yMode val="edge"/>
          <c:x val="0.17950881139857519"/>
          <c:y val="3.2407407407407406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17"/>
        <c:spPr>
          <a:solidFill>
            <a:schemeClr val="accent1">
              <a:lumMod val="50000"/>
            </a:schemeClr>
          </a:solidFill>
          <a:ln w="19050">
            <a:noFill/>
          </a:ln>
          <a:effectLst/>
        </c:spPr>
        <c:dLbl>
          <c:idx val="0"/>
          <c:layout>
            <c:manualLayout>
              <c:x val="0.13076279527559045"/>
              <c:y val="-2.494167395742199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8"/>
        <c:spPr>
          <a:solidFill>
            <a:schemeClr val="accent1"/>
          </a:solidFill>
          <a:ln w="19050">
            <a:noFill/>
          </a:ln>
          <a:effectLst/>
        </c:spPr>
        <c:dLbl>
          <c:idx val="0"/>
          <c:layout>
            <c:manualLayout>
              <c:x val="0.12785784589426322"/>
              <c:y val="8.952573636628755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9"/>
        <c:spPr>
          <a:solidFill>
            <a:schemeClr val="accent5">
              <a:lumMod val="60000"/>
              <a:lumOff val="40000"/>
            </a:schemeClr>
          </a:solidFill>
          <a:ln w="19050">
            <a:noFill/>
          </a:ln>
          <a:effectLst/>
        </c:spPr>
        <c:dLbl>
          <c:idx val="0"/>
          <c:layout>
            <c:manualLayout>
              <c:x val="5.8012279715035732E-2"/>
              <c:y val="3.5231846019247594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0"/>
        <c:spPr>
          <a:solidFill>
            <a:schemeClr val="accent5">
              <a:lumMod val="75000"/>
            </a:schemeClr>
          </a:solidFill>
          <a:ln w="19050">
            <a:noFill/>
          </a:ln>
          <a:effectLst/>
        </c:spPr>
        <c:dLbl>
          <c:idx val="0"/>
          <c:layout>
            <c:manualLayout>
              <c:x val="-0.10112509373828274"/>
              <c:y val="-7.1267133275007295E-4"/>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Analysis!$K$9</c:f>
              <c:strCache>
                <c:ptCount val="1"/>
                <c:pt idx="0">
                  <c:v>Total</c:v>
                </c:pt>
              </c:strCache>
            </c:strRef>
          </c:tx>
          <c:dPt>
            <c:idx val="0"/>
            <c:bubble3D val="0"/>
            <c:spPr>
              <a:solidFill>
                <a:schemeClr val="accent1">
                  <a:lumMod val="50000"/>
                </a:schemeClr>
              </a:solidFill>
              <a:ln w="19050">
                <a:noFill/>
              </a:ln>
              <a:effectLst/>
            </c:spPr>
            <c:extLst>
              <c:ext xmlns:c16="http://schemas.microsoft.com/office/drawing/2014/chart" uri="{C3380CC4-5D6E-409C-BE32-E72D297353CC}">
                <c16:uniqueId val="{00000001-25C5-4060-8A30-64705F671533}"/>
              </c:ext>
            </c:extLst>
          </c:dPt>
          <c:dPt>
            <c:idx val="1"/>
            <c:bubble3D val="0"/>
            <c:spPr>
              <a:solidFill>
                <a:schemeClr val="accent2"/>
              </a:solidFill>
              <a:ln w="19050">
                <a:noFill/>
              </a:ln>
              <a:effectLst/>
            </c:spPr>
            <c:extLst>
              <c:ext xmlns:c16="http://schemas.microsoft.com/office/drawing/2014/chart" uri="{C3380CC4-5D6E-409C-BE32-E72D297353CC}">
                <c16:uniqueId val="{00000003-25C5-4060-8A30-64705F671533}"/>
              </c:ext>
            </c:extLst>
          </c:dPt>
          <c:dPt>
            <c:idx val="2"/>
            <c:bubble3D val="0"/>
            <c:spPr>
              <a:solidFill>
                <a:schemeClr val="accent5">
                  <a:lumMod val="60000"/>
                  <a:lumOff val="40000"/>
                </a:schemeClr>
              </a:solidFill>
              <a:ln w="19050">
                <a:noFill/>
              </a:ln>
              <a:effectLst/>
            </c:spPr>
            <c:extLst>
              <c:ext xmlns:c16="http://schemas.microsoft.com/office/drawing/2014/chart" uri="{C3380CC4-5D6E-409C-BE32-E72D297353CC}">
                <c16:uniqueId val="{00000005-25C5-4060-8A30-64705F671533}"/>
              </c:ext>
            </c:extLst>
          </c:dPt>
          <c:dPt>
            <c:idx val="3"/>
            <c:bubble3D val="0"/>
            <c:spPr>
              <a:solidFill>
                <a:schemeClr val="accent5">
                  <a:lumMod val="75000"/>
                </a:schemeClr>
              </a:solidFill>
              <a:ln w="19050">
                <a:noFill/>
              </a:ln>
              <a:effectLst/>
            </c:spPr>
            <c:extLst>
              <c:ext xmlns:c16="http://schemas.microsoft.com/office/drawing/2014/chart" uri="{C3380CC4-5D6E-409C-BE32-E72D297353CC}">
                <c16:uniqueId val="{00000007-25C5-4060-8A30-64705F671533}"/>
              </c:ext>
            </c:extLst>
          </c:dPt>
          <c:dLbls>
            <c:dLbl>
              <c:idx val="0"/>
              <c:layout>
                <c:manualLayout>
                  <c:x val="0.13076279527559045"/>
                  <c:y val="-2.494167395742199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5C5-4060-8A30-64705F671533}"/>
                </c:ext>
              </c:extLst>
            </c:dLbl>
            <c:dLbl>
              <c:idx val="1"/>
              <c:layout>
                <c:manualLayout>
                  <c:x val="0.12785784589426322"/>
                  <c:y val="8.952573636628755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5C5-4060-8A30-64705F671533}"/>
                </c:ext>
              </c:extLst>
            </c:dLbl>
            <c:dLbl>
              <c:idx val="2"/>
              <c:layout>
                <c:manualLayout>
                  <c:x val="5.8012279715035732E-2"/>
                  <c:y val="3.5231846019247594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5C5-4060-8A30-64705F671533}"/>
                </c:ext>
              </c:extLst>
            </c:dLbl>
            <c:dLbl>
              <c:idx val="3"/>
              <c:layout>
                <c:manualLayout>
                  <c:x val="-0.10112509373828274"/>
                  <c:y val="-7.1267133275007295E-4"/>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25C5-4060-8A30-64705F671533}"/>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Analysis!$J$10:$J$13</c:f>
              <c:strCache>
                <c:ptCount val="4"/>
                <c:pt idx="0">
                  <c:v>min</c:v>
                </c:pt>
                <c:pt idx="1">
                  <c:v>non</c:v>
                </c:pt>
                <c:pt idx="2">
                  <c:v>sub</c:v>
                </c:pt>
                <c:pt idx="3">
                  <c:v>w/o</c:v>
                </c:pt>
              </c:strCache>
            </c:strRef>
          </c:cat>
          <c:val>
            <c:numRef>
              <c:f>Analysis!$K$10:$K$13</c:f>
              <c:numCache>
                <c:formatCode>General</c:formatCode>
                <c:ptCount val="4"/>
                <c:pt idx="0">
                  <c:v>2</c:v>
                </c:pt>
                <c:pt idx="1">
                  <c:v>1</c:v>
                </c:pt>
                <c:pt idx="2">
                  <c:v>13</c:v>
                </c:pt>
                <c:pt idx="3">
                  <c:v>30</c:v>
                </c:pt>
              </c:numCache>
            </c:numRef>
          </c:val>
          <c:extLst>
            <c:ext xmlns:c16="http://schemas.microsoft.com/office/drawing/2014/chart" uri="{C3380CC4-5D6E-409C-BE32-E72D297353CC}">
              <c16:uniqueId val="{00000008-25C5-4060-8A30-64705F671533}"/>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2.png"/><Relationship Id="rId3" Type="http://schemas.openxmlformats.org/officeDocument/2006/relationships/chart" Target="../charts/chart2.xml"/><Relationship Id="rId7" Type="http://schemas.openxmlformats.org/officeDocument/2006/relationships/chart" Target="../charts/chart6.xml"/><Relationship Id="rId2" Type="http://schemas.openxmlformats.org/officeDocument/2006/relationships/chart" Target="../charts/chart1.xml"/><Relationship Id="rId1" Type="http://schemas.openxmlformats.org/officeDocument/2006/relationships/image" Target="../media/image1.jpg"/><Relationship Id="rId6" Type="http://schemas.openxmlformats.org/officeDocument/2006/relationships/chart" Target="../charts/chart5.xml"/><Relationship Id="rId11" Type="http://schemas.microsoft.com/office/2007/relationships/hdphoto" Target="../media/hdphoto2.wdp"/><Relationship Id="rId5" Type="http://schemas.openxmlformats.org/officeDocument/2006/relationships/chart" Target="../charts/chart4.xml"/><Relationship Id="rId10" Type="http://schemas.openxmlformats.org/officeDocument/2006/relationships/image" Target="../media/image3.png"/><Relationship Id="rId4" Type="http://schemas.openxmlformats.org/officeDocument/2006/relationships/chart" Target="../charts/chart3.xml"/><Relationship Id="rId9" Type="http://schemas.microsoft.com/office/2007/relationships/hdphoto" Target="../media/hdphoto1.wdp"/></Relationships>
</file>

<file path=xl/drawings/drawing1.xml><?xml version="1.0" encoding="utf-8"?>
<xdr:wsDr xmlns:xdr="http://schemas.openxmlformats.org/drawingml/2006/spreadsheetDrawing" xmlns:a="http://schemas.openxmlformats.org/drawingml/2006/main">
  <xdr:twoCellAnchor editAs="oneCell">
    <xdr:from>
      <xdr:col>9</xdr:col>
      <xdr:colOff>238124</xdr:colOff>
      <xdr:row>2</xdr:row>
      <xdr:rowOff>28575</xdr:rowOff>
    </xdr:from>
    <xdr:to>
      <xdr:col>20</xdr:col>
      <xdr:colOff>95250</xdr:colOff>
      <xdr:row>8</xdr:row>
      <xdr:rowOff>85725</xdr:rowOff>
    </xdr:to>
    <xdr:pic>
      <xdr:nvPicPr>
        <xdr:cNvPr id="3" name="Picture 2">
          <a:extLst>
            <a:ext uri="{FF2B5EF4-FFF2-40B4-BE49-F238E27FC236}">
              <a16:creationId xmlns:a16="http://schemas.microsoft.com/office/drawing/2014/main" id="{449192B0-D323-45D6-829C-EC8A60933D3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724524" y="409575"/>
          <a:ext cx="6562726" cy="1200150"/>
        </a:xfrm>
        <a:prstGeom prst="rect">
          <a:avLst/>
        </a:prstGeom>
        <a:ln>
          <a:noFill/>
        </a:ln>
        <a:effectLst>
          <a:softEdge rad="112500"/>
        </a:effectLst>
      </xdr:spPr>
    </xdr:pic>
    <xdr:clientData/>
  </xdr:twoCellAnchor>
  <xdr:twoCellAnchor editAs="oneCell">
    <xdr:from>
      <xdr:col>0</xdr:col>
      <xdr:colOff>0</xdr:colOff>
      <xdr:row>2</xdr:row>
      <xdr:rowOff>66674</xdr:rowOff>
    </xdr:from>
    <xdr:to>
      <xdr:col>9</xdr:col>
      <xdr:colOff>476250</xdr:colOff>
      <xdr:row>8</xdr:row>
      <xdr:rowOff>95249</xdr:rowOff>
    </xdr:to>
    <xdr:pic>
      <xdr:nvPicPr>
        <xdr:cNvPr id="2" name="Picture 1">
          <a:extLst>
            <a:ext uri="{FF2B5EF4-FFF2-40B4-BE49-F238E27FC236}">
              <a16:creationId xmlns:a16="http://schemas.microsoft.com/office/drawing/2014/main" id="{67F16367-08F1-4BC6-93FF-0A7DF3466B2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447674"/>
          <a:ext cx="5962650" cy="1171575"/>
        </a:xfrm>
        <a:prstGeom prst="rect">
          <a:avLst/>
        </a:prstGeom>
        <a:ln>
          <a:noFill/>
        </a:ln>
        <a:effectLst>
          <a:softEdge rad="112500"/>
        </a:effectLst>
      </xdr:spPr>
    </xdr:pic>
    <xdr:clientData/>
  </xdr:twoCellAnchor>
  <xdr:twoCellAnchor>
    <xdr:from>
      <xdr:col>1</xdr:col>
      <xdr:colOff>552451</xdr:colOff>
      <xdr:row>7</xdr:row>
      <xdr:rowOff>47625</xdr:rowOff>
    </xdr:from>
    <xdr:to>
      <xdr:col>11</xdr:col>
      <xdr:colOff>457200</xdr:colOff>
      <xdr:row>21</xdr:row>
      <xdr:rowOff>123825</xdr:rowOff>
    </xdr:to>
    <xdr:graphicFrame macro="">
      <xdr:nvGraphicFramePr>
        <xdr:cNvPr id="5" name="Chart 4">
          <a:extLst>
            <a:ext uri="{FF2B5EF4-FFF2-40B4-BE49-F238E27FC236}">
              <a16:creationId xmlns:a16="http://schemas.microsoft.com/office/drawing/2014/main" id="{1623FADE-7F7D-4578-8CF8-6B9AD3D03D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200024</xdr:colOff>
      <xdr:row>23</xdr:row>
      <xdr:rowOff>0</xdr:rowOff>
    </xdr:from>
    <xdr:to>
      <xdr:col>26</xdr:col>
      <xdr:colOff>600076</xdr:colOff>
      <xdr:row>37</xdr:row>
      <xdr:rowOff>171449</xdr:rowOff>
    </xdr:to>
    <xdr:graphicFrame macro="">
      <xdr:nvGraphicFramePr>
        <xdr:cNvPr id="7" name="Chart 6">
          <a:extLst>
            <a:ext uri="{FF2B5EF4-FFF2-40B4-BE49-F238E27FC236}">
              <a16:creationId xmlns:a16="http://schemas.microsoft.com/office/drawing/2014/main" id="{9A156A91-D047-433E-A8F6-ECA2D2C970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40</xdr:row>
      <xdr:rowOff>123824</xdr:rowOff>
    </xdr:from>
    <xdr:to>
      <xdr:col>0</xdr:col>
      <xdr:colOff>161925</xdr:colOff>
      <xdr:row>56</xdr:row>
      <xdr:rowOff>114299</xdr:rowOff>
    </xdr:to>
    <xdr:sp macro="" textlink="">
      <xdr:nvSpPr>
        <xdr:cNvPr id="9" name="Rectangle: Rounded Corners 8">
          <a:extLst>
            <a:ext uri="{FF2B5EF4-FFF2-40B4-BE49-F238E27FC236}">
              <a16:creationId xmlns:a16="http://schemas.microsoft.com/office/drawing/2014/main" id="{9B1EC0EF-CC2F-4263-BA8A-0EF3059B3A4F}"/>
            </a:ext>
          </a:extLst>
        </xdr:cNvPr>
        <xdr:cNvSpPr/>
      </xdr:nvSpPr>
      <xdr:spPr>
        <a:xfrm>
          <a:off x="0" y="7743824"/>
          <a:ext cx="161925" cy="3038475"/>
        </a:xfrm>
        <a:prstGeom prst="roundRect">
          <a:avLst>
            <a:gd name="adj" fmla="val 7064"/>
          </a:avLst>
        </a:prstGeom>
        <a:solidFill>
          <a:schemeClr val="bg1"/>
        </a:soli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11</xdr:col>
      <xdr:colOff>504826</xdr:colOff>
      <xdr:row>7</xdr:row>
      <xdr:rowOff>47625</xdr:rowOff>
    </xdr:from>
    <xdr:to>
      <xdr:col>19</xdr:col>
      <xdr:colOff>457200</xdr:colOff>
      <xdr:row>21</xdr:row>
      <xdr:rowOff>180975</xdr:rowOff>
    </xdr:to>
    <xdr:graphicFrame macro="">
      <xdr:nvGraphicFramePr>
        <xdr:cNvPr id="10" name="Chart 9">
          <a:extLst>
            <a:ext uri="{FF2B5EF4-FFF2-40B4-BE49-F238E27FC236}">
              <a16:creationId xmlns:a16="http://schemas.microsoft.com/office/drawing/2014/main" id="{FD8811D0-7BF0-49DB-A6B7-973AC94F30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485775</xdr:colOff>
      <xdr:row>6</xdr:row>
      <xdr:rowOff>76200</xdr:rowOff>
    </xdr:from>
    <xdr:to>
      <xdr:col>27</xdr:col>
      <xdr:colOff>428625</xdr:colOff>
      <xdr:row>22</xdr:row>
      <xdr:rowOff>104775</xdr:rowOff>
    </xdr:to>
    <xdr:graphicFrame macro="">
      <xdr:nvGraphicFramePr>
        <xdr:cNvPr id="11" name="Chart 10">
          <a:extLst>
            <a:ext uri="{FF2B5EF4-FFF2-40B4-BE49-F238E27FC236}">
              <a16:creationId xmlns:a16="http://schemas.microsoft.com/office/drawing/2014/main" id="{68A8B6F3-7A7B-4205-A753-C683776E55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38100</xdr:colOff>
      <xdr:row>22</xdr:row>
      <xdr:rowOff>19050</xdr:rowOff>
    </xdr:from>
    <xdr:to>
      <xdr:col>9</xdr:col>
      <xdr:colOff>419100</xdr:colOff>
      <xdr:row>36</xdr:row>
      <xdr:rowOff>95250</xdr:rowOff>
    </xdr:to>
    <xdr:graphicFrame macro="">
      <xdr:nvGraphicFramePr>
        <xdr:cNvPr id="12" name="Chart 11">
          <a:extLst>
            <a:ext uri="{FF2B5EF4-FFF2-40B4-BE49-F238E27FC236}">
              <a16:creationId xmlns:a16="http://schemas.microsoft.com/office/drawing/2014/main" id="{A0F969C8-7DB0-49C5-8458-CC47DEB3D5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0</xdr:colOff>
      <xdr:row>22</xdr:row>
      <xdr:rowOff>76200</xdr:rowOff>
    </xdr:from>
    <xdr:to>
      <xdr:col>17</xdr:col>
      <xdr:colOff>57150</xdr:colOff>
      <xdr:row>37</xdr:row>
      <xdr:rowOff>57150</xdr:rowOff>
    </xdr:to>
    <xdr:graphicFrame macro="">
      <xdr:nvGraphicFramePr>
        <xdr:cNvPr id="13" name="Chart 12">
          <a:extLst>
            <a:ext uri="{FF2B5EF4-FFF2-40B4-BE49-F238E27FC236}">
              <a16:creationId xmlns:a16="http://schemas.microsoft.com/office/drawing/2014/main" id="{9A78ABFE-272B-4A58-B795-288478A418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114300</xdr:colOff>
      <xdr:row>18</xdr:row>
      <xdr:rowOff>9525</xdr:rowOff>
    </xdr:from>
    <xdr:to>
      <xdr:col>1</xdr:col>
      <xdr:colOff>542925</xdr:colOff>
      <xdr:row>31</xdr:row>
      <xdr:rowOff>57150</xdr:rowOff>
    </xdr:to>
    <mc:AlternateContent xmlns:mc="http://schemas.openxmlformats.org/markup-compatibility/2006" xmlns:a14="http://schemas.microsoft.com/office/drawing/2010/main">
      <mc:Choice Requires="a14">
        <xdr:graphicFrame macro="">
          <xdr:nvGraphicFramePr>
            <xdr:cNvPr id="14" name="Month">
              <a:extLst>
                <a:ext uri="{FF2B5EF4-FFF2-40B4-BE49-F238E27FC236}">
                  <a16:creationId xmlns:a16="http://schemas.microsoft.com/office/drawing/2014/main" id="{2398CCB2-F062-EDBB-96DB-90C047291D41}"/>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14300" y="3438525"/>
              <a:ext cx="1038225"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76200</xdr:colOff>
      <xdr:row>7</xdr:row>
      <xdr:rowOff>0</xdr:rowOff>
    </xdr:from>
    <xdr:to>
      <xdr:col>1</xdr:col>
      <xdr:colOff>542925</xdr:colOff>
      <xdr:row>17</xdr:row>
      <xdr:rowOff>133350</xdr:rowOff>
    </xdr:to>
    <mc:AlternateContent xmlns:mc="http://schemas.openxmlformats.org/markup-compatibility/2006" xmlns:a14="http://schemas.microsoft.com/office/drawing/2010/main">
      <mc:Choice Requires="a14">
        <xdr:graphicFrame macro="">
          <xdr:nvGraphicFramePr>
            <xdr:cNvPr id="15" name="Year">
              <a:extLst>
                <a:ext uri="{FF2B5EF4-FFF2-40B4-BE49-F238E27FC236}">
                  <a16:creationId xmlns:a16="http://schemas.microsoft.com/office/drawing/2014/main" id="{91205C44-A16E-965B-56A9-E3B78BC9A819}"/>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76200" y="1333500"/>
              <a:ext cx="1076325" cy="2038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200026</xdr:colOff>
      <xdr:row>2</xdr:row>
      <xdr:rowOff>180975</xdr:rowOff>
    </xdr:from>
    <xdr:to>
      <xdr:col>7</xdr:col>
      <xdr:colOff>485775</xdr:colOff>
      <xdr:row>7</xdr:row>
      <xdr:rowOff>104774</xdr:rowOff>
    </xdr:to>
    <xdr:sp macro="" textlink="">
      <xdr:nvSpPr>
        <xdr:cNvPr id="16" name="Rectangle: Rounded Corners 15">
          <a:extLst>
            <a:ext uri="{FF2B5EF4-FFF2-40B4-BE49-F238E27FC236}">
              <a16:creationId xmlns:a16="http://schemas.microsoft.com/office/drawing/2014/main" id="{40139D7C-61B5-77FA-DC20-1739E222A7DD}"/>
            </a:ext>
          </a:extLst>
        </xdr:cNvPr>
        <xdr:cNvSpPr/>
      </xdr:nvSpPr>
      <xdr:spPr>
        <a:xfrm>
          <a:off x="2638426" y="561975"/>
          <a:ext cx="2114549" cy="876299"/>
        </a:xfrm>
        <a:prstGeom prst="roundRect">
          <a:avLst>
            <a:gd name="adj" fmla="val 10985"/>
          </a:avLst>
        </a:prstGeom>
        <a:noFill/>
        <a:ln>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7</xdr:col>
      <xdr:colOff>600076</xdr:colOff>
      <xdr:row>2</xdr:row>
      <xdr:rowOff>171450</xdr:rowOff>
    </xdr:from>
    <xdr:to>
      <xdr:col>11</xdr:col>
      <xdr:colOff>276225</xdr:colOff>
      <xdr:row>7</xdr:row>
      <xdr:rowOff>95249</xdr:rowOff>
    </xdr:to>
    <xdr:sp macro="" textlink="">
      <xdr:nvSpPr>
        <xdr:cNvPr id="17" name="Rectangle: Rounded Corners 16">
          <a:extLst>
            <a:ext uri="{FF2B5EF4-FFF2-40B4-BE49-F238E27FC236}">
              <a16:creationId xmlns:a16="http://schemas.microsoft.com/office/drawing/2014/main" id="{4BE3DA44-1891-F582-76B0-0DB9DAEA0529}"/>
            </a:ext>
          </a:extLst>
        </xdr:cNvPr>
        <xdr:cNvSpPr/>
      </xdr:nvSpPr>
      <xdr:spPr>
        <a:xfrm>
          <a:off x="4867276" y="552450"/>
          <a:ext cx="2114549" cy="876299"/>
        </a:xfrm>
        <a:prstGeom prst="roundRect">
          <a:avLst>
            <a:gd name="adj" fmla="val 10985"/>
          </a:avLst>
        </a:prstGeom>
        <a:noFill/>
        <a:ln>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11</xdr:col>
      <xdr:colOff>371476</xdr:colOff>
      <xdr:row>2</xdr:row>
      <xdr:rowOff>161925</xdr:rowOff>
    </xdr:from>
    <xdr:to>
      <xdr:col>15</xdr:col>
      <xdr:colOff>47625</xdr:colOff>
      <xdr:row>7</xdr:row>
      <xdr:rowOff>85724</xdr:rowOff>
    </xdr:to>
    <xdr:sp macro="" textlink="">
      <xdr:nvSpPr>
        <xdr:cNvPr id="18" name="Rectangle: Rounded Corners 17">
          <a:extLst>
            <a:ext uri="{FF2B5EF4-FFF2-40B4-BE49-F238E27FC236}">
              <a16:creationId xmlns:a16="http://schemas.microsoft.com/office/drawing/2014/main" id="{3C3EABE0-D19E-1963-BC0E-417DD1490D59}"/>
            </a:ext>
          </a:extLst>
        </xdr:cNvPr>
        <xdr:cNvSpPr/>
      </xdr:nvSpPr>
      <xdr:spPr>
        <a:xfrm>
          <a:off x="7077076" y="542925"/>
          <a:ext cx="2114549" cy="876299"/>
        </a:xfrm>
        <a:prstGeom prst="roundRect">
          <a:avLst>
            <a:gd name="adj" fmla="val 10985"/>
          </a:avLst>
        </a:prstGeom>
        <a:noFill/>
        <a:ln>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4</xdr:col>
      <xdr:colOff>390525</xdr:colOff>
      <xdr:row>3</xdr:row>
      <xdr:rowOff>19050</xdr:rowOff>
    </xdr:from>
    <xdr:to>
      <xdr:col>7</xdr:col>
      <xdr:colOff>266700</xdr:colOff>
      <xdr:row>5</xdr:row>
      <xdr:rowOff>47625</xdr:rowOff>
    </xdr:to>
    <xdr:sp macro="" textlink="">
      <xdr:nvSpPr>
        <xdr:cNvPr id="19" name="TextBox 18">
          <a:extLst>
            <a:ext uri="{FF2B5EF4-FFF2-40B4-BE49-F238E27FC236}">
              <a16:creationId xmlns:a16="http://schemas.microsoft.com/office/drawing/2014/main" id="{9F398812-0819-A226-BCBC-8311E4BE6853}"/>
            </a:ext>
          </a:extLst>
        </xdr:cNvPr>
        <xdr:cNvSpPr txBox="1"/>
      </xdr:nvSpPr>
      <xdr:spPr>
        <a:xfrm>
          <a:off x="2828925" y="590550"/>
          <a:ext cx="1704975"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kern="1200">
              <a:solidFill>
                <a:schemeClr val="accent1">
                  <a:lumMod val="75000"/>
                </a:schemeClr>
              </a:solidFill>
              <a:latin typeface="Palatino Linotype" panose="02040502050505030304" pitchFamily="18" charset="0"/>
              <a:ea typeface="ADLaM Display" panose="02010000000000000000" pitchFamily="2" charset="0"/>
              <a:cs typeface="ADLaM Display" panose="02010000000000000000" pitchFamily="2" charset="0"/>
            </a:rPr>
            <a:t>Total</a:t>
          </a:r>
          <a:r>
            <a:rPr lang="en-US" sz="1600" b="1" kern="1200" baseline="0">
              <a:solidFill>
                <a:schemeClr val="accent1">
                  <a:lumMod val="75000"/>
                </a:schemeClr>
              </a:solidFill>
              <a:latin typeface="Palatino Linotype" panose="02040502050505030304" pitchFamily="18" charset="0"/>
              <a:ea typeface="ADLaM Display" panose="02010000000000000000" pitchFamily="2" charset="0"/>
              <a:cs typeface="ADLaM Display" panose="02010000000000000000" pitchFamily="2" charset="0"/>
            </a:rPr>
            <a:t> </a:t>
          </a:r>
          <a:r>
            <a:rPr lang="en-US" sz="1600" b="1" kern="1200" baseline="0">
              <a:solidFill>
                <a:schemeClr val="accent1">
                  <a:lumMod val="75000"/>
                </a:schemeClr>
              </a:solidFill>
              <a:latin typeface="Palatino Linotype" panose="02040502050505030304" pitchFamily="18" charset="0"/>
              <a:ea typeface="ADLaM Display" panose="02010000000000000000" pitchFamily="2" charset="0"/>
              <a:cs typeface="Aharoni" panose="02010803020104030203" pitchFamily="2" charset="-79"/>
            </a:rPr>
            <a:t>Accidents</a:t>
          </a:r>
          <a:endParaRPr lang="en-US" sz="1600" b="1" kern="1200">
            <a:solidFill>
              <a:schemeClr val="accent1">
                <a:lumMod val="75000"/>
              </a:schemeClr>
            </a:solidFill>
            <a:latin typeface="Palatino Linotype" panose="02040502050505030304" pitchFamily="18" charset="0"/>
            <a:ea typeface="ADLaM Display" panose="02010000000000000000" pitchFamily="2" charset="0"/>
            <a:cs typeface="Aharoni" panose="02010803020104030203" pitchFamily="2" charset="-79"/>
          </a:endParaRPr>
        </a:p>
      </xdr:txBody>
    </xdr:sp>
    <xdr:clientData/>
  </xdr:twoCellAnchor>
  <xdr:twoCellAnchor>
    <xdr:from>
      <xdr:col>5</xdr:col>
      <xdr:colOff>238125</xdr:colOff>
      <xdr:row>4</xdr:row>
      <xdr:rowOff>114300</xdr:rowOff>
    </xdr:from>
    <xdr:to>
      <xdr:col>6</xdr:col>
      <xdr:colOff>276225</xdr:colOff>
      <xdr:row>6</xdr:row>
      <xdr:rowOff>85725</xdr:rowOff>
    </xdr:to>
    <xdr:sp macro="" textlink="Analysis!B2">
      <xdr:nvSpPr>
        <xdr:cNvPr id="20" name="TextBox 19">
          <a:extLst>
            <a:ext uri="{FF2B5EF4-FFF2-40B4-BE49-F238E27FC236}">
              <a16:creationId xmlns:a16="http://schemas.microsoft.com/office/drawing/2014/main" id="{942161F8-319A-80C3-51DD-9C06C60B853A}"/>
            </a:ext>
          </a:extLst>
        </xdr:cNvPr>
        <xdr:cNvSpPr txBox="1"/>
      </xdr:nvSpPr>
      <xdr:spPr>
        <a:xfrm>
          <a:off x="3286125" y="876300"/>
          <a:ext cx="647700"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BD0A264-55C1-41BE-9002-A3326EC9DD4A}" type="TxLink">
            <a:rPr lang="en-US" sz="2000" b="0" i="0" u="none" strike="noStrike" kern="1200">
              <a:solidFill>
                <a:schemeClr val="accent1">
                  <a:lumMod val="75000"/>
                </a:schemeClr>
              </a:solidFill>
              <a:latin typeface="Arial Black" panose="020B0A04020102020204" pitchFamily="34" charset="0"/>
              <a:cs typeface="Calibri"/>
            </a:rPr>
            <a:pPr algn="ctr"/>
            <a:t>46</a:t>
          </a:fld>
          <a:endParaRPr lang="en-US" sz="2000" kern="1200">
            <a:solidFill>
              <a:schemeClr val="accent1">
                <a:lumMod val="75000"/>
              </a:schemeClr>
            </a:solidFill>
            <a:latin typeface="Arial Black" panose="020B0A04020102020204" pitchFamily="34" charset="0"/>
          </a:endParaRPr>
        </a:p>
      </xdr:txBody>
    </xdr:sp>
    <xdr:clientData/>
  </xdr:twoCellAnchor>
  <xdr:twoCellAnchor>
    <xdr:from>
      <xdr:col>8</xdr:col>
      <xdr:colOff>161926</xdr:colOff>
      <xdr:row>3</xdr:row>
      <xdr:rowOff>19050</xdr:rowOff>
    </xdr:from>
    <xdr:to>
      <xdr:col>10</xdr:col>
      <xdr:colOff>495300</xdr:colOff>
      <xdr:row>4</xdr:row>
      <xdr:rowOff>180975</xdr:rowOff>
    </xdr:to>
    <xdr:sp macro="" textlink="">
      <xdr:nvSpPr>
        <xdr:cNvPr id="21" name="TextBox 20">
          <a:extLst>
            <a:ext uri="{FF2B5EF4-FFF2-40B4-BE49-F238E27FC236}">
              <a16:creationId xmlns:a16="http://schemas.microsoft.com/office/drawing/2014/main" id="{784437D3-FFB2-42AC-9A2C-243F16C748F1}"/>
            </a:ext>
          </a:extLst>
        </xdr:cNvPr>
        <xdr:cNvSpPr txBox="1"/>
      </xdr:nvSpPr>
      <xdr:spPr>
        <a:xfrm>
          <a:off x="5038726" y="590550"/>
          <a:ext cx="1552574"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600" b="1" kern="1200">
              <a:solidFill>
                <a:schemeClr val="accent1">
                  <a:lumMod val="75000"/>
                </a:schemeClr>
              </a:solidFill>
              <a:latin typeface="Palatino Linotype" panose="02040502050505030304" pitchFamily="18" charset="0"/>
              <a:ea typeface="ADLaM Display" panose="02010000000000000000" pitchFamily="2" charset="0"/>
              <a:cs typeface="ADLaM Display" panose="02010000000000000000" pitchFamily="2" charset="0"/>
            </a:rPr>
            <a:t>Total Fatalities</a:t>
          </a:r>
        </a:p>
      </xdr:txBody>
    </xdr:sp>
    <xdr:clientData/>
  </xdr:twoCellAnchor>
  <xdr:twoCellAnchor>
    <xdr:from>
      <xdr:col>8</xdr:col>
      <xdr:colOff>590550</xdr:colOff>
      <xdr:row>4</xdr:row>
      <xdr:rowOff>123825</xdr:rowOff>
    </xdr:from>
    <xdr:to>
      <xdr:col>10</xdr:col>
      <xdr:colOff>85725</xdr:colOff>
      <xdr:row>6</xdr:row>
      <xdr:rowOff>95250</xdr:rowOff>
    </xdr:to>
    <xdr:sp macro="" textlink="Analysis!B6">
      <xdr:nvSpPr>
        <xdr:cNvPr id="22" name="TextBox 21">
          <a:extLst>
            <a:ext uri="{FF2B5EF4-FFF2-40B4-BE49-F238E27FC236}">
              <a16:creationId xmlns:a16="http://schemas.microsoft.com/office/drawing/2014/main" id="{AF21EEAC-1ED2-D5B4-2747-02A3F1D8E177}"/>
            </a:ext>
          </a:extLst>
        </xdr:cNvPr>
        <xdr:cNvSpPr txBox="1"/>
      </xdr:nvSpPr>
      <xdr:spPr>
        <a:xfrm>
          <a:off x="5467350" y="885825"/>
          <a:ext cx="71437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049DD9F-59A3-4206-A74B-DCA952AAAEC4}" type="TxLink">
            <a:rPr lang="en-US" sz="2000" b="0" i="0" u="none" strike="noStrike" kern="1200">
              <a:solidFill>
                <a:schemeClr val="accent1">
                  <a:lumMod val="75000"/>
                </a:schemeClr>
              </a:solidFill>
              <a:latin typeface="Arial Black" panose="020B0A04020102020204" pitchFamily="34" charset="0"/>
              <a:ea typeface="+mn-ea"/>
              <a:cs typeface="Calibri"/>
            </a:rPr>
            <a:pPr marL="0" indent="0" algn="ctr"/>
            <a:t>650</a:t>
          </a:fld>
          <a:endParaRPr lang="en-US" sz="2000" b="0" i="0" u="none" strike="noStrike" kern="1200">
            <a:solidFill>
              <a:schemeClr val="accent1">
                <a:lumMod val="75000"/>
              </a:schemeClr>
            </a:solidFill>
            <a:latin typeface="Arial Black" panose="020B0A04020102020204" pitchFamily="34" charset="0"/>
            <a:ea typeface="+mn-ea"/>
            <a:cs typeface="Calibri"/>
          </a:endParaRPr>
        </a:p>
      </xdr:txBody>
    </xdr:sp>
    <xdr:clientData/>
  </xdr:twoCellAnchor>
  <xdr:twoCellAnchor>
    <xdr:from>
      <xdr:col>11</xdr:col>
      <xdr:colOff>552450</xdr:colOff>
      <xdr:row>3</xdr:row>
      <xdr:rowOff>19050</xdr:rowOff>
    </xdr:from>
    <xdr:to>
      <xdr:col>14</xdr:col>
      <xdr:colOff>276226</xdr:colOff>
      <xdr:row>4</xdr:row>
      <xdr:rowOff>180975</xdr:rowOff>
    </xdr:to>
    <xdr:sp macro="" textlink="">
      <xdr:nvSpPr>
        <xdr:cNvPr id="23" name="TextBox 22">
          <a:extLst>
            <a:ext uri="{FF2B5EF4-FFF2-40B4-BE49-F238E27FC236}">
              <a16:creationId xmlns:a16="http://schemas.microsoft.com/office/drawing/2014/main" id="{240AAF17-FFAA-4D71-B32C-8869B4AE7769}"/>
            </a:ext>
          </a:extLst>
        </xdr:cNvPr>
        <xdr:cNvSpPr txBox="1"/>
      </xdr:nvSpPr>
      <xdr:spPr>
        <a:xfrm>
          <a:off x="7258050" y="590550"/>
          <a:ext cx="1552576"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600" b="1" kern="1200">
              <a:solidFill>
                <a:schemeClr val="accent1">
                  <a:lumMod val="75000"/>
                </a:schemeClr>
              </a:solidFill>
              <a:latin typeface="Palatino Linotype" panose="02040502050505030304" pitchFamily="18" charset="0"/>
              <a:ea typeface="ADLaM Display" panose="02010000000000000000" pitchFamily="2" charset="0"/>
              <a:cs typeface="ADLaM Display" panose="02010000000000000000" pitchFamily="2" charset="0"/>
            </a:rPr>
            <a:t>Total Aircraft</a:t>
          </a:r>
        </a:p>
      </xdr:txBody>
    </xdr:sp>
    <xdr:clientData/>
  </xdr:twoCellAnchor>
  <xdr:twoCellAnchor>
    <xdr:from>
      <xdr:col>12</xdr:col>
      <xdr:colOff>523875</xdr:colOff>
      <xdr:row>4</xdr:row>
      <xdr:rowOff>142875</xdr:rowOff>
    </xdr:from>
    <xdr:to>
      <xdr:col>13</xdr:col>
      <xdr:colOff>485774</xdr:colOff>
      <xdr:row>6</xdr:row>
      <xdr:rowOff>114300</xdr:rowOff>
    </xdr:to>
    <xdr:sp macro="" textlink="nigerian_air_accidents!E57">
      <xdr:nvSpPr>
        <xdr:cNvPr id="24" name="TextBox 23">
          <a:extLst>
            <a:ext uri="{FF2B5EF4-FFF2-40B4-BE49-F238E27FC236}">
              <a16:creationId xmlns:a16="http://schemas.microsoft.com/office/drawing/2014/main" id="{244AC366-B8C9-440B-8FDA-1A87FA2998B1}"/>
            </a:ext>
          </a:extLst>
        </xdr:cNvPr>
        <xdr:cNvSpPr txBox="1"/>
      </xdr:nvSpPr>
      <xdr:spPr>
        <a:xfrm>
          <a:off x="7839075" y="904875"/>
          <a:ext cx="571499"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A15EBBC-3C50-45E3-9B26-D7C0B80CD342}" type="TxLink">
            <a:rPr lang="en-US" sz="2000" b="0" i="0" u="none" strike="noStrike" kern="1200">
              <a:solidFill>
                <a:schemeClr val="accent1">
                  <a:lumMod val="75000"/>
                </a:schemeClr>
              </a:solidFill>
              <a:latin typeface="Arial Black" panose="020B0A04020102020204" pitchFamily="34" charset="0"/>
              <a:ea typeface="+mn-ea"/>
              <a:cs typeface="Calibri"/>
            </a:rPr>
            <a:pPr marL="0" indent="0" algn="ctr"/>
            <a:t>43</a:t>
          </a:fld>
          <a:endParaRPr lang="en-US" sz="2000" b="0" i="0" u="none" strike="noStrike" kern="1200">
            <a:solidFill>
              <a:schemeClr val="accent1">
                <a:lumMod val="75000"/>
              </a:schemeClr>
            </a:solidFill>
            <a:latin typeface="Arial Black" panose="020B0A04020102020204" pitchFamily="34" charset="0"/>
            <a:ea typeface="+mn-ea"/>
            <a:cs typeface="Calibri"/>
          </a:endParaRPr>
        </a:p>
      </xdr:txBody>
    </xdr:sp>
    <xdr:clientData/>
  </xdr:twoCellAnchor>
  <xdr:twoCellAnchor editAs="oneCell">
    <xdr:from>
      <xdr:col>19</xdr:col>
      <xdr:colOff>71743</xdr:colOff>
      <xdr:row>6</xdr:row>
      <xdr:rowOff>12022</xdr:rowOff>
    </xdr:from>
    <xdr:to>
      <xdr:col>19</xdr:col>
      <xdr:colOff>528943</xdr:colOff>
      <xdr:row>7</xdr:row>
      <xdr:rowOff>93387</xdr:rowOff>
    </xdr:to>
    <xdr:pic>
      <xdr:nvPicPr>
        <xdr:cNvPr id="6" name="Picture 5">
          <a:extLst>
            <a:ext uri="{FF2B5EF4-FFF2-40B4-BE49-F238E27FC236}">
              <a16:creationId xmlns:a16="http://schemas.microsoft.com/office/drawing/2014/main" id="{2E26D977-0A5F-731C-DD40-35BF1FCCF954}"/>
            </a:ext>
          </a:extLst>
        </xdr:cNvPr>
        <xdr:cNvPicPr>
          <a:picLocks noChangeAspect="1"/>
        </xdr:cNvPicPr>
      </xdr:nvPicPr>
      <xdr:blipFill>
        <a:blip xmlns:r="http://schemas.openxmlformats.org/officeDocument/2006/relationships" r:embed="rId8" cstate="print">
          <a:extLst>
            <a:ext uri="{BEBA8EAE-BF5A-486C-A8C5-ECC9F3942E4B}">
              <a14:imgProps xmlns:a14="http://schemas.microsoft.com/office/drawing/2010/main">
                <a14:imgLayer r:embed="rId9">
                  <a14:imgEffect>
                    <a14:backgroundRemoval t="4734" b="89941" l="10000" r="98056">
                      <a14:foregroundMark x1="84167" y1="16568" x2="89722" y2="21302"/>
                      <a14:foregroundMark x1="89982" y1="10516" x2="93056" y2="20118"/>
                      <a14:foregroundMark x1="96585" y1="10831" x2="98056" y2="11834"/>
                      <a14:foregroundMark x1="19444" y1="37278" x2="33333" y2="38462"/>
                      <a14:foregroundMark x1="88333" y1="5917" x2="95833" y2="11834"/>
                      <a14:foregroundMark x1="91111" y1="5917" x2="98056" y2="11834"/>
                      <a14:backgroundMark x1="89722" y1="0" x2="90396" y2="574"/>
                    </a14:backgroundRemoval>
                  </a14:imgEffect>
                </a14:imgLayer>
              </a14:imgProps>
            </a:ext>
            <a:ext uri="{28A0092B-C50C-407E-A947-70E740481C1C}">
              <a14:useLocalDpi xmlns:a14="http://schemas.microsoft.com/office/drawing/2010/main" val="0"/>
            </a:ext>
          </a:extLst>
        </a:blip>
        <a:stretch>
          <a:fillRect/>
        </a:stretch>
      </xdr:blipFill>
      <xdr:spPr>
        <a:xfrm rot="404518">
          <a:off x="11654143" y="1155022"/>
          <a:ext cx="457200" cy="271865"/>
        </a:xfrm>
        <a:prstGeom prst="rect">
          <a:avLst/>
        </a:prstGeom>
      </xdr:spPr>
    </xdr:pic>
    <xdr:clientData/>
  </xdr:twoCellAnchor>
  <xdr:twoCellAnchor>
    <xdr:from>
      <xdr:col>15</xdr:col>
      <xdr:colOff>142876</xdr:colOff>
      <xdr:row>2</xdr:row>
      <xdr:rowOff>171450</xdr:rowOff>
    </xdr:from>
    <xdr:to>
      <xdr:col>18</xdr:col>
      <xdr:colOff>428625</xdr:colOff>
      <xdr:row>7</xdr:row>
      <xdr:rowOff>95249</xdr:rowOff>
    </xdr:to>
    <xdr:sp macro="" textlink="">
      <xdr:nvSpPr>
        <xdr:cNvPr id="8" name="Rectangle: Rounded Corners 7">
          <a:extLst>
            <a:ext uri="{FF2B5EF4-FFF2-40B4-BE49-F238E27FC236}">
              <a16:creationId xmlns:a16="http://schemas.microsoft.com/office/drawing/2014/main" id="{C69F40D4-B787-5033-7652-C95DB0D2B8D1}"/>
            </a:ext>
          </a:extLst>
        </xdr:cNvPr>
        <xdr:cNvSpPr/>
      </xdr:nvSpPr>
      <xdr:spPr>
        <a:xfrm>
          <a:off x="9286876" y="552450"/>
          <a:ext cx="2114549" cy="876299"/>
        </a:xfrm>
        <a:prstGeom prst="roundRect">
          <a:avLst>
            <a:gd name="adj" fmla="val 10985"/>
          </a:avLst>
        </a:prstGeom>
        <a:noFill/>
        <a:ln>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15</xdr:col>
      <xdr:colOff>266698</xdr:colOff>
      <xdr:row>3</xdr:row>
      <xdr:rowOff>19050</xdr:rowOff>
    </xdr:from>
    <xdr:to>
      <xdr:col>18</xdr:col>
      <xdr:colOff>76199</xdr:colOff>
      <xdr:row>4</xdr:row>
      <xdr:rowOff>180975</xdr:rowOff>
    </xdr:to>
    <xdr:sp macro="" textlink="">
      <xdr:nvSpPr>
        <xdr:cNvPr id="26" name="TextBox 25">
          <a:extLst>
            <a:ext uri="{FF2B5EF4-FFF2-40B4-BE49-F238E27FC236}">
              <a16:creationId xmlns:a16="http://schemas.microsoft.com/office/drawing/2014/main" id="{12C892D4-D1DF-7F11-F6D4-44EC63DA08DC}"/>
            </a:ext>
          </a:extLst>
        </xdr:cNvPr>
        <xdr:cNvSpPr txBox="1"/>
      </xdr:nvSpPr>
      <xdr:spPr>
        <a:xfrm>
          <a:off x="9410698" y="590550"/>
          <a:ext cx="1638301"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600" b="1" kern="1200">
              <a:solidFill>
                <a:schemeClr val="accent1">
                  <a:lumMod val="75000"/>
                </a:schemeClr>
              </a:solidFill>
              <a:latin typeface="Palatino Linotype" panose="02040502050505030304" pitchFamily="18" charset="0"/>
              <a:ea typeface="ADLaM Display" panose="02010000000000000000" pitchFamily="2" charset="0"/>
              <a:cs typeface="ADLaM Display" panose="02010000000000000000" pitchFamily="2" charset="0"/>
            </a:rPr>
            <a:t>Non-Fatalities</a:t>
          </a:r>
        </a:p>
      </xdr:txBody>
    </xdr:sp>
    <xdr:clientData/>
  </xdr:twoCellAnchor>
  <xdr:twoCellAnchor>
    <xdr:from>
      <xdr:col>16</xdr:col>
      <xdr:colOff>76201</xdr:colOff>
      <xdr:row>4</xdr:row>
      <xdr:rowOff>133350</xdr:rowOff>
    </xdr:from>
    <xdr:to>
      <xdr:col>17</xdr:col>
      <xdr:colOff>38100</xdr:colOff>
      <xdr:row>6</xdr:row>
      <xdr:rowOff>104775</xdr:rowOff>
    </xdr:to>
    <xdr:sp macro="" textlink="nigerian_air_accidents!G57">
      <xdr:nvSpPr>
        <xdr:cNvPr id="27" name="TextBox 26">
          <a:extLst>
            <a:ext uri="{FF2B5EF4-FFF2-40B4-BE49-F238E27FC236}">
              <a16:creationId xmlns:a16="http://schemas.microsoft.com/office/drawing/2014/main" id="{F7CE27A2-6859-4CAF-BE1F-D6EFEE2310CC}"/>
            </a:ext>
          </a:extLst>
        </xdr:cNvPr>
        <xdr:cNvSpPr txBox="1"/>
      </xdr:nvSpPr>
      <xdr:spPr>
        <a:xfrm>
          <a:off x="9829801" y="895350"/>
          <a:ext cx="571499"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55199A2-5A2B-4C51-8DFC-7BF2CA3203DC}" type="TxLink">
            <a:rPr lang="en-US" sz="2000" b="0" i="0" u="none" strike="noStrike" kern="1200">
              <a:solidFill>
                <a:schemeClr val="accent1">
                  <a:lumMod val="75000"/>
                </a:schemeClr>
              </a:solidFill>
              <a:latin typeface="Arial Black" panose="020B0A04020102020204" pitchFamily="34" charset="0"/>
              <a:ea typeface="+mn-ea"/>
              <a:cs typeface="Calibri"/>
            </a:rPr>
            <a:pPr marL="0" indent="0" algn="ctr"/>
            <a:t>33</a:t>
          </a:fld>
          <a:endParaRPr lang="en-US" sz="2000" b="0" i="0" u="none" strike="noStrike" kern="1200">
            <a:solidFill>
              <a:schemeClr val="accent1">
                <a:lumMod val="75000"/>
              </a:schemeClr>
            </a:solidFill>
            <a:latin typeface="Arial Black" panose="020B0A04020102020204" pitchFamily="34" charset="0"/>
            <a:ea typeface="+mn-ea"/>
            <a:cs typeface="Calibri"/>
          </a:endParaRPr>
        </a:p>
      </xdr:txBody>
    </xdr:sp>
    <xdr:clientData/>
  </xdr:twoCellAnchor>
  <xdr:twoCellAnchor editAs="oneCell">
    <xdr:from>
      <xdr:col>0</xdr:col>
      <xdr:colOff>496242</xdr:colOff>
      <xdr:row>1</xdr:row>
      <xdr:rowOff>78665</xdr:rowOff>
    </xdr:from>
    <xdr:to>
      <xdr:col>3</xdr:col>
      <xdr:colOff>387887</xdr:colOff>
      <xdr:row>7</xdr:row>
      <xdr:rowOff>37016</xdr:rowOff>
    </xdr:to>
    <xdr:pic>
      <xdr:nvPicPr>
        <xdr:cNvPr id="25" name="Picture 24">
          <a:extLst>
            <a:ext uri="{FF2B5EF4-FFF2-40B4-BE49-F238E27FC236}">
              <a16:creationId xmlns:a16="http://schemas.microsoft.com/office/drawing/2014/main" id="{D08A6A07-7DB2-4E74-C679-B65A27734787}"/>
            </a:ext>
          </a:extLst>
        </xdr:cNvPr>
        <xdr:cNvPicPr>
          <a:picLocks noChangeAspect="1"/>
        </xdr:cNvPicPr>
      </xdr:nvPicPr>
      <xdr:blipFill>
        <a:blip xmlns:r="http://schemas.openxmlformats.org/officeDocument/2006/relationships" r:embed="rId10" cstate="print">
          <a:extLst>
            <a:ext uri="{BEBA8EAE-BF5A-486C-A8C5-ECC9F3942E4B}">
              <a14:imgProps xmlns:a14="http://schemas.microsoft.com/office/drawing/2010/main">
                <a14:imgLayer r:embed="rId11">
                  <a14:imgEffect>
                    <a14:backgroundRemoval t="9739" b="89549" l="4063" r="90313">
                      <a14:foregroundMark x1="4063" y1="41330" x2="8125" y2="49169"/>
                      <a14:foregroundMark x1="58438" y1="64133" x2="58438" y2="75772"/>
                      <a14:foregroundMark x1="59531" y1="66746" x2="58438" y2="79097"/>
                      <a14:foregroundMark x1="53750" y1="72209" x2="55000" y2="83610"/>
                      <a14:foregroundMark x1="4688" y1="28979" x2="5781" y2="39667"/>
                      <a14:foregroundMark x1="16250" y1="19240" x2="53281" y2="29929"/>
                      <a14:foregroundMark x1="84531" y1="42280" x2="90313" y2="42280"/>
                    </a14:backgroundRemoval>
                  </a14:imgEffect>
                </a14:imgLayer>
              </a14:imgProps>
            </a:ext>
            <a:ext uri="{28A0092B-C50C-407E-A947-70E740481C1C}">
              <a14:useLocalDpi xmlns:a14="http://schemas.microsoft.com/office/drawing/2010/main" val="0"/>
            </a:ext>
          </a:extLst>
        </a:blip>
        <a:stretch>
          <a:fillRect/>
        </a:stretch>
      </xdr:blipFill>
      <xdr:spPr>
        <a:xfrm rot="21400038">
          <a:off x="496242" y="269165"/>
          <a:ext cx="1720445" cy="1101351"/>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5672.536764814817" createdVersion="8" refreshedVersion="8" minRefreshableVersion="3" recordCount="51" xr:uid="{992729F7-9839-4B1C-8C21-F2118AE31274}">
  <cacheSource type="worksheet">
    <worksheetSource name="Table1"/>
  </cacheSource>
  <cacheFields count="13">
    <cacheField name="Date" numFmtId="14">
      <sharedItems containsSemiMixedTypes="0" containsNonDate="0" containsDate="1" containsString="0" minDate="1980-05-26T00:00:00" maxDate="2024-12-12T00:00:00" count="50">
        <d v="2024-12-11T00:00:00"/>
        <d v="2023-11-03T00:00:00"/>
        <d v="2021-08-03T00:00:00"/>
        <d v="2021-05-21T00:00:00"/>
        <d v="2021-02-21T00:00:00"/>
        <d v="2019-07-23T00:00:00"/>
        <d v="2018-10-12T00:00:00"/>
        <d v="2018-02-20T00:00:00"/>
        <d v="2018-02-13T00:00:00"/>
        <d v="2018-01-25T00:00:00"/>
        <d v="2015-08-29T00:00:00"/>
        <d v="2015-06-11T00:00:00"/>
        <d v="2014-04-29T00:00:00"/>
        <d v="2013-12-04T00:00:00"/>
        <d v="2013-10-03T00:00:00"/>
        <d v="2012-10-25T00:00:00"/>
        <d v="2012-06-03T00:00:00"/>
        <d v="2011-07-14T00:00:00"/>
        <d v="2011-07-10T00:00:00"/>
        <d v="2010-03-12T00:00:00"/>
        <d v="2009-08-02T00:00:00"/>
        <d v="2008-07-14T00:00:00"/>
        <d v="2008-03-15T00:00:00"/>
        <d v="2006-10-29T00:00:00"/>
        <d v="2006-09-17T00:00:00"/>
        <d v="2006-09-07T00:00:00"/>
        <d v="2005-12-10T00:00:00"/>
        <d v="2005-11-28T00:00:00"/>
        <d v="2005-10-22T00:00:00"/>
        <d v="2005-06-29T00:00:00"/>
        <d v="2005-06-12T00:00:00"/>
        <d v="2004-09-06T00:00:00"/>
        <d v="2003-12-01T00:00:00"/>
        <d v="2003-11-29T00:00:00"/>
        <d v="2002-05-21T00:00:00"/>
        <d v="2002-05-04T00:00:00"/>
        <d v="2002-03-27T00:00:00"/>
        <d v="2001-11-27T00:00:00"/>
        <d v="2001-05-15T00:00:00"/>
        <d v="2001-02-14T00:00:00"/>
        <d v="2001-01-23T00:00:00"/>
        <d v="2000-10-26T00:00:00"/>
        <d v="2000-03-12T00:00:00"/>
        <d v="2000-03-17T00:00:00"/>
        <d v="2000-01-05T00:00:00"/>
        <d v="1997-09-12T00:00:00"/>
        <d v="1997-02-24T00:00:00"/>
        <d v="1995-04-23T00:00:00"/>
        <d v="1992-09-26T00:00:00"/>
        <d v="1980-05-26T00:00:00"/>
      </sharedItems>
      <fieldGroup par="12"/>
    </cacheField>
    <cacheField name="Month" numFmtId="14">
      <sharedItems count="12">
        <s v="December"/>
        <s v="November"/>
        <s v="August"/>
        <s v="May"/>
        <s v="February"/>
        <s v="July"/>
        <s v="October"/>
        <s v="January"/>
        <s v="June"/>
        <s v="April"/>
        <s v="March"/>
        <s v="September"/>
      </sharedItems>
    </cacheField>
    <cacheField name="Year" numFmtId="14">
      <sharedItems count="24">
        <s v="2024"/>
        <s v="2023"/>
        <s v="2021"/>
        <s v="2019"/>
        <s v="2018"/>
        <s v="2015"/>
        <s v="2014"/>
        <s v="2013"/>
        <s v="2012"/>
        <s v="2011"/>
        <s v="2010"/>
        <s v="2009"/>
        <s v="2008"/>
        <s v="2006"/>
        <s v="2005"/>
        <s v="2004"/>
        <s v="2003"/>
        <s v="2002"/>
        <s v="2001"/>
        <s v="2000"/>
        <s v="1997"/>
        <s v="1995"/>
        <s v="1992"/>
        <s v="1980"/>
      </sharedItems>
    </cacheField>
    <cacheField name="Aircraft Type" numFmtId="0">
      <sharedItems count="43">
        <s v="Boeing 737-4Y0 (SF)"/>
        <s v="Raytheon Hawker 800XP"/>
        <s v="Airbus A300B4-622R (F)"/>
        <s v="Beechcraft B300 King Air 350i"/>
        <s v="Beechcraft B300 King Air 350"/>
        <s v="Boeing 737-36N (WL)"/>
        <s v="ATR 72-202"/>
        <s v="McDonnell Douglas MD-83"/>
        <s v="Airbus A330-223"/>
        <s v="Gulfstream G200"/>
        <s v="Dornier 228-212"/>
        <s v="Hawker 800XP"/>
        <s v="de Havilland Canada DHC-8-402Q Dash 8"/>
        <s v="Boeing 747-281B (SF)"/>
        <s v="Embraer EMB-120RT Brasilia"/>
        <s v="Cessna 208B Grand Caravan"/>
        <s v="McDonnell Douglas DC-9-83 (MD-83)"/>
        <s v="Cessna 560XL Citation XLS"/>
        <s v="British Aerospace BAe-125-700B"/>
        <s v="Alenia G-222"/>
        <s v="Boeing 737-282"/>
        <s v="Beechcraft 1900D"/>
        <s v="Boeing 737-2B7"/>
        <s v="Boeing 727-277"/>
        <s v="McDonnell Douglas DC-9-32"/>
        <s v="Beechcraft 200 Super King Air"/>
        <s v="Boeing 737-2L9"/>
        <s v="Fokker 100"/>
        <s v="Boeing 727-2M7"/>
        <s v="Let L-410UVP-E"/>
        <s v="Boeing 747-258"/>
        <s v="Let L-410UVP"/>
        <s v="BAC One-Eleven 525FT"/>
        <s v="BAC One-Eleven 523FJ"/>
        <s v="BAC One-Eleven 401AK"/>
        <s v="Boeing 747-246F"/>
        <s v="Hawker Siddeley HS-125-600B"/>
        <s v="Short 360-300"/>
        <s v="Dornier Do 128-6 Turbo Skyservant"/>
        <s v="Lockheed C-130H Hercules"/>
        <s v="Embraer EMB-110P1A Bandeirante"/>
        <s v="Fokker F-27 Friendship 200MP"/>
        <s v="Fokker F-27 Friendship 400M"/>
      </sharedItems>
    </cacheField>
    <cacheField name="Registration." numFmtId="0">
      <sharedItems/>
    </cacheField>
    <cacheField name="Operator" numFmtId="0">
      <sharedItems count="36">
        <s v="Allied Air"/>
        <s v="Flints Aero Services"/>
        <s v="European Air Transport"/>
        <s v="Nigerian Air Force - NAF"/>
        <s v="Air Peace"/>
        <s v="Overland Airways"/>
        <s v="Dana Air"/>
        <s v="Delta Air Lines"/>
        <s v="Nestoil"/>
        <s v="Swat Technology LLC"/>
        <s v="Aerocontractors Company of Nigeria"/>
        <s v="Saudi Arabian Airlines, lsf Veteran Airline"/>
        <s v="Associated Aviation"/>
        <s v="Taraba State Government"/>
        <s v="Bristow Helicopters"/>
        <s v="Capital Airlines Ltd."/>
        <s v="Chanchangi Airlines"/>
        <s v="Wings Aviation"/>
        <s v="ADC Airlines"/>
        <s v="DHL Aviation"/>
        <s v="Sosoliso Airlines"/>
        <s v="Private"/>
        <s v="Bellview Airlines"/>
        <s v="IRS Airlines"/>
        <s v="Millenium Air"/>
        <s v="Hydro Air Cargo"/>
        <s v="Sky Executive Airlines"/>
        <s v="EAS Airlines"/>
        <s v="Savanah Airlines"/>
        <s v="Albarka Air"/>
        <s v="MK Airlines"/>
        <s v="Chrome Air"/>
        <s v="Associated Aviation Limited"/>
        <s v="Eagle Aviation ?"/>
        <s v="Skypower Express Airways"/>
        <s v="Federal Nigerian Air Force"/>
      </sharedItems>
    </cacheField>
    <cacheField name="Fatalities" numFmtId="0">
      <sharedItems containsSemiMixedTypes="0" containsString="0" containsNumber="1" containsInteger="1" minValue="0" maxValue="159"/>
    </cacheField>
    <cacheField name="Location" numFmtId="0">
      <sharedItems/>
    </cacheField>
    <cacheField name="Status" numFmtId="0">
      <sharedItems count="4">
        <s v="sub"/>
        <s v="w/o"/>
        <s v="non"/>
        <s v="min"/>
      </sharedItems>
    </cacheField>
    <cacheField name="Trends in SI" numFmtId="0">
      <sharedItems count="2">
        <s v="Non-Fatal"/>
        <s v="Fatal"/>
      </sharedItems>
    </cacheField>
    <cacheField name="Months (Date)" numFmtId="0" databaseField="0">
      <fieldGroup base="0">
        <rangePr groupBy="months" startDate="1980-05-26T00:00:00" endDate="2024-12-12T00:00:00"/>
        <groupItems count="14">
          <s v="&lt;5/26/1980"/>
          <s v="Jan"/>
          <s v="Feb"/>
          <s v="Mar"/>
          <s v="Apr"/>
          <s v="May"/>
          <s v="Jun"/>
          <s v="Jul"/>
          <s v="Aug"/>
          <s v="Sep"/>
          <s v="Oct"/>
          <s v="Nov"/>
          <s v="Dec"/>
          <s v="&gt;12/12/2024"/>
        </groupItems>
      </fieldGroup>
    </cacheField>
    <cacheField name="Quarters (Date)" numFmtId="0" databaseField="0">
      <fieldGroup base="0">
        <rangePr groupBy="quarters" startDate="1980-05-26T00:00:00" endDate="2024-12-12T00:00:00"/>
        <groupItems count="6">
          <s v="&lt;5/26/1980"/>
          <s v="Qtr1"/>
          <s v="Qtr2"/>
          <s v="Qtr3"/>
          <s v="Qtr4"/>
          <s v="&gt;12/12/2024"/>
        </groupItems>
      </fieldGroup>
    </cacheField>
    <cacheField name="Years (Date)" numFmtId="0" databaseField="0">
      <fieldGroup base="0">
        <rangePr groupBy="years" startDate="1980-05-26T00:00:00" endDate="2024-12-12T00:00:00"/>
        <groupItems count="47">
          <s v="&lt;5/26/1980"/>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2016"/>
          <s v="2017"/>
          <s v="2018"/>
          <s v="2019"/>
          <s v="2020"/>
          <s v="2021"/>
          <s v="2022"/>
          <s v="2023"/>
          <s v="2024"/>
          <s v="&gt;12/12/2024"/>
        </groupItems>
      </fieldGroup>
    </cacheField>
  </cacheFields>
  <extLst>
    <ext xmlns:x14="http://schemas.microsoft.com/office/spreadsheetml/2009/9/main" uri="{725AE2AE-9491-48be-B2B4-4EB974FC3084}">
      <x14:pivotCacheDefinition pivotCacheId="8421472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
  <r>
    <x v="0"/>
    <x v="0"/>
    <x v="0"/>
    <x v="0"/>
    <s v="5N-JRT"/>
    <x v="0"/>
    <n v="0"/>
    <s v="Abuja-Nnamdi Azikiwe International Airport (ABV/DNAA)"/>
    <x v="0"/>
    <x v="0"/>
  </r>
  <r>
    <x v="1"/>
    <x v="1"/>
    <x v="1"/>
    <x v="1"/>
    <s v="5N-AMM"/>
    <x v="1"/>
    <n v="0"/>
    <s v="Ibadan Airport (IBA/DNIB), Oyo State"/>
    <x v="0"/>
    <x v="0"/>
  </r>
  <r>
    <x v="2"/>
    <x v="2"/>
    <x v="2"/>
    <x v="2"/>
    <s v="D-AEAE"/>
    <x v="2"/>
    <n v="0"/>
    <s v="Lagos-Murtala Muhammed International Airport (LOS)"/>
    <x v="0"/>
    <x v="0"/>
  </r>
  <r>
    <x v="3"/>
    <x v="3"/>
    <x v="2"/>
    <x v="3"/>
    <s v="NAF203"/>
    <x v="3"/>
    <n v="11"/>
    <s v="near Kaduna Airport (KAD)"/>
    <x v="1"/>
    <x v="1"/>
  </r>
  <r>
    <x v="4"/>
    <x v="4"/>
    <x v="2"/>
    <x v="4"/>
    <s v="NAF201"/>
    <x v="3"/>
    <n v="7"/>
    <s v="NE of Abuja-Nnamdi Azikiwe International Airport (ABV)"/>
    <x v="1"/>
    <x v="1"/>
  </r>
  <r>
    <x v="5"/>
    <x v="5"/>
    <x v="3"/>
    <x v="5"/>
    <s v="5N-BQO"/>
    <x v="4"/>
    <n v="0"/>
    <s v="Lagos-Murtala Muhammed International Airport (LOS)"/>
    <x v="0"/>
    <x v="0"/>
  </r>
  <r>
    <x v="6"/>
    <x v="6"/>
    <x v="4"/>
    <x v="6"/>
    <s v="5N-BPE"/>
    <x v="5"/>
    <n v="0"/>
    <s v="Lagos-Murtala Muhammed International Airport (LOS)"/>
    <x v="1"/>
    <x v="0"/>
  </r>
  <r>
    <x v="7"/>
    <x v="4"/>
    <x v="4"/>
    <x v="7"/>
    <s v="5N-SRI"/>
    <x v="6"/>
    <n v="0"/>
    <s v="Port Harcourt Airport (PHC)"/>
    <x v="0"/>
    <x v="0"/>
  </r>
  <r>
    <x v="8"/>
    <x v="4"/>
    <x v="4"/>
    <x v="8"/>
    <s v="N858NW"/>
    <x v="7"/>
    <n v="0"/>
    <s v="Lagos-Murtala Muhammed International Airport (LOS/DNMM)"/>
    <x v="2"/>
    <x v="0"/>
  </r>
  <r>
    <x v="9"/>
    <x v="7"/>
    <x v="4"/>
    <x v="9"/>
    <s v="5N-BTF"/>
    <x v="8"/>
    <n v="0"/>
    <s v="Abuja-Nnamdi Azikiwe International Airport (ABV/DNAA)"/>
    <x v="0"/>
    <x v="0"/>
  </r>
  <r>
    <x v="10"/>
    <x v="2"/>
    <x v="5"/>
    <x v="10"/>
    <s v="NAF030"/>
    <x v="3"/>
    <n v="7"/>
    <s v="Kaduna"/>
    <x v="1"/>
    <x v="1"/>
  </r>
  <r>
    <x v="11"/>
    <x v="8"/>
    <x v="5"/>
    <x v="11"/>
    <s v="N497AG"/>
    <x v="9"/>
    <n v="0"/>
    <s v="Port Harcourt Airport (PHC)"/>
    <x v="0"/>
    <x v="0"/>
  </r>
  <r>
    <x v="12"/>
    <x v="9"/>
    <x v="6"/>
    <x v="12"/>
    <s v="5N-BPT"/>
    <x v="10"/>
    <n v="0"/>
    <s v="Lagos-Murtala Muhammed International Airport (LOS)"/>
    <x v="0"/>
    <x v="0"/>
  </r>
  <r>
    <x v="13"/>
    <x v="0"/>
    <x v="7"/>
    <x v="13"/>
    <s v="EK74798"/>
    <x v="11"/>
    <n v="0"/>
    <s v="Abuja International Airport (ABV)"/>
    <x v="0"/>
    <x v="0"/>
  </r>
  <r>
    <x v="14"/>
    <x v="6"/>
    <x v="7"/>
    <x v="14"/>
    <s v="5N-BJY"/>
    <x v="12"/>
    <n v="16"/>
    <s v="Lagos-Murtala Muhammed International Airport (LOS)"/>
    <x v="1"/>
    <x v="1"/>
  </r>
  <r>
    <x v="15"/>
    <x v="6"/>
    <x v="8"/>
    <x v="15"/>
    <s v="5N-BMJ"/>
    <x v="13"/>
    <n v="0"/>
    <s v="13.7 km W of Yola Airport (YOL)"/>
    <x v="1"/>
    <x v="0"/>
  </r>
  <r>
    <x v="16"/>
    <x v="8"/>
    <x v="8"/>
    <x v="16"/>
    <s v="5N-RAM"/>
    <x v="6"/>
    <n v="159"/>
    <s v="9.3 km N of Lagos-Murtala Muhammed International Airport (LOS)"/>
    <x v="1"/>
    <x v="1"/>
  </r>
  <r>
    <x v="17"/>
    <x v="5"/>
    <x v="9"/>
    <x v="17"/>
    <s v="5N-BMM"/>
    <x v="14"/>
    <n v="0"/>
    <s v="Port Harcourt Airport (PHC)"/>
    <x v="1"/>
    <x v="0"/>
  </r>
  <r>
    <x v="18"/>
    <x v="5"/>
    <x v="9"/>
    <x v="18"/>
    <s v="5N-BEX"/>
    <x v="12"/>
    <n v="0"/>
    <s v="Benin City Airport (BNI)"/>
    <x v="3"/>
    <x v="0"/>
  </r>
  <r>
    <x v="19"/>
    <x v="10"/>
    <x v="10"/>
    <x v="19"/>
    <s v="NAF 950"/>
    <x v="3"/>
    <n v="0"/>
    <s v="Port Harcourt Airport (PHC)"/>
    <x v="1"/>
    <x v="0"/>
  </r>
  <r>
    <x v="20"/>
    <x v="2"/>
    <x v="11"/>
    <x v="14"/>
    <s v="5N-BLN"/>
    <x v="15"/>
    <n v="0"/>
    <s v="Enugu Airport (ENU)"/>
    <x v="1"/>
    <x v="0"/>
  </r>
  <r>
    <x v="21"/>
    <x v="5"/>
    <x v="12"/>
    <x v="20"/>
    <s v="5N-BIG"/>
    <x v="16"/>
    <n v="0"/>
    <s v="Port Harcourt Airport (PHC)"/>
    <x v="0"/>
    <x v="0"/>
  </r>
  <r>
    <x v="22"/>
    <x v="10"/>
    <x v="12"/>
    <x v="21"/>
    <s v="5N-JAH"/>
    <x v="17"/>
    <n v="3"/>
    <s v="near Bushi Village, Obanliku"/>
    <x v="1"/>
    <x v="1"/>
  </r>
  <r>
    <x v="23"/>
    <x v="6"/>
    <x v="13"/>
    <x v="22"/>
    <s v="5N-BFK"/>
    <x v="18"/>
    <n v="96"/>
    <s v="Abuja International Airport (ABV)"/>
    <x v="1"/>
    <x v="1"/>
  </r>
  <r>
    <x v="24"/>
    <x v="11"/>
    <x v="13"/>
    <x v="10"/>
    <s v="NAF033"/>
    <x v="3"/>
    <n v="13"/>
    <s v="near Vande Iky"/>
    <x v="1"/>
    <x v="1"/>
  </r>
  <r>
    <x v="25"/>
    <x v="11"/>
    <x v="13"/>
    <x v="23"/>
    <s v="ZS-DPF"/>
    <x v="19"/>
    <n v="0"/>
    <s v="Lagos-Murtala Muhammed Airport (LOS)"/>
    <x v="1"/>
    <x v="0"/>
  </r>
  <r>
    <x v="26"/>
    <x v="0"/>
    <x v="14"/>
    <x v="24"/>
    <s v="5N-BFD"/>
    <x v="20"/>
    <n v="108"/>
    <s v="Port Harcourt Airport (PHC)"/>
    <x v="1"/>
    <x v="1"/>
  </r>
  <r>
    <x v="27"/>
    <x v="1"/>
    <x v="14"/>
    <x v="25"/>
    <s v="N73MW"/>
    <x v="21"/>
    <n v="2"/>
    <s v="Kaduna Airport (KAD)"/>
    <x v="1"/>
    <x v="1"/>
  </r>
  <r>
    <x v="28"/>
    <x v="6"/>
    <x v="14"/>
    <x v="26"/>
    <s v="5N-BFN"/>
    <x v="22"/>
    <n v="117"/>
    <s v="Lisa Village, Ogun State"/>
    <x v="1"/>
    <x v="1"/>
  </r>
  <r>
    <x v="29"/>
    <x v="8"/>
    <x v="14"/>
    <x v="27"/>
    <s v="5N-COO"/>
    <x v="23"/>
    <n v="0"/>
    <s v="Lagos-Murtala Muhammed Airport (LOS)"/>
    <x v="3"/>
    <x v="0"/>
  </r>
  <r>
    <x v="30"/>
    <x v="8"/>
    <x v="14"/>
    <x v="28"/>
    <s v="5N-BCF"/>
    <x v="16"/>
    <n v="0"/>
    <s v="Lagos-Murtala Muhammed Airport (LOS)"/>
    <x v="0"/>
    <x v="0"/>
  </r>
  <r>
    <x v="31"/>
    <x v="11"/>
    <x v="15"/>
    <x v="21"/>
    <s v="5N-PTL"/>
    <x v="17"/>
    <n v="0"/>
    <s v="Eket airstrip"/>
    <x v="0"/>
    <x v="0"/>
  </r>
  <r>
    <x v="32"/>
    <x v="0"/>
    <x v="16"/>
    <x v="29"/>
    <s v="5N-BFL"/>
    <x v="24"/>
    <n v="0"/>
    <s v="Kano-Aminu Kano International Airport (KAN)"/>
    <x v="1"/>
    <x v="0"/>
  </r>
  <r>
    <x v="33"/>
    <x v="1"/>
    <x v="16"/>
    <x v="30"/>
    <s v="ZS-OOS"/>
    <x v="25"/>
    <n v="0"/>
    <s v="Lagos-Murtala Muhammed Airport (LOS)"/>
    <x v="1"/>
    <x v="0"/>
  </r>
  <r>
    <x v="34"/>
    <x v="3"/>
    <x v="17"/>
    <x v="31"/>
    <s v="9Q-CGX"/>
    <x v="26"/>
    <n v="5"/>
    <s v="22 km SSE of Calabar Airport (CBQ)"/>
    <x v="1"/>
    <x v="1"/>
  </r>
  <r>
    <x v="35"/>
    <x v="3"/>
    <x v="17"/>
    <x v="32"/>
    <s v="5N-ESF"/>
    <x v="27"/>
    <n v="103"/>
    <s v="3 km SW of Kano-Aminu Kano International Airport (KAN)"/>
    <x v="1"/>
    <x v="1"/>
  </r>
  <r>
    <x v="36"/>
    <x v="10"/>
    <x v="17"/>
    <x v="33"/>
    <s v="5N-BDU"/>
    <x v="28"/>
    <n v="0"/>
    <s v="Abuja International Airport (ABV)"/>
    <x v="1"/>
    <x v="0"/>
  </r>
  <r>
    <x v="36"/>
    <x v="10"/>
    <x v="17"/>
    <x v="34"/>
    <s v="5N-MBM"/>
    <x v="29"/>
    <n v="0"/>
    <s v="Abuja International Airport (ABV)"/>
    <x v="1"/>
    <x v="0"/>
  </r>
  <r>
    <x v="37"/>
    <x v="1"/>
    <x v="18"/>
    <x v="35"/>
    <s v="9G-MKI"/>
    <x v="30"/>
    <n v="1"/>
    <s v="near Port Harcourt"/>
    <x v="1"/>
    <x v="1"/>
  </r>
  <r>
    <x v="38"/>
    <x v="3"/>
    <x v="18"/>
    <x v="36"/>
    <s v="5N-RNO"/>
    <x v="31"/>
    <n v="0"/>
    <s v="near Lagos-Murtala Muhammed Airport (LOS)"/>
    <x v="1"/>
    <x v="0"/>
  </r>
  <r>
    <x v="39"/>
    <x v="4"/>
    <x v="18"/>
    <x v="37"/>
    <s v="5N-BBZ"/>
    <x v="32"/>
    <n v="0"/>
    <s v="Birnin Kebbi Airstrip"/>
    <x v="0"/>
    <x v="0"/>
  </r>
  <r>
    <x v="40"/>
    <x v="7"/>
    <x v="18"/>
    <x v="31"/>
    <s v="9L-LCG"/>
    <x v="33"/>
    <n v="0"/>
    <s v="12 km from Maiduguri"/>
    <x v="1"/>
    <x v="0"/>
  </r>
  <r>
    <x v="41"/>
    <x v="6"/>
    <x v="19"/>
    <x v="38"/>
    <s v="NAF-018"/>
    <x v="3"/>
    <n v="0"/>
    <s v="Jedo Village, near Warri"/>
    <x v="1"/>
    <x v="0"/>
  </r>
  <r>
    <x v="42"/>
    <x v="10"/>
    <x v="19"/>
    <x v="39"/>
    <s v="NAF914"/>
    <x v="3"/>
    <n v="0"/>
    <s v="Lagos-Murtala Muhammed International Airport (LOS)"/>
    <x v="1"/>
    <x v="0"/>
  </r>
  <r>
    <x v="43"/>
    <x v="10"/>
    <x v="19"/>
    <x v="40"/>
    <s v="5N-AXM"/>
    <x v="34"/>
    <n v="0"/>
    <s v="1.2 km from Kaduna Airport (KAD)"/>
    <x v="1"/>
    <x v="0"/>
  </r>
  <r>
    <x v="44"/>
    <x v="7"/>
    <x v="19"/>
    <x v="40"/>
    <s v="5N-AXL"/>
    <x v="34"/>
    <n v="2"/>
    <s v="Abuja International Airport (ABV)"/>
    <x v="1"/>
    <x v="1"/>
  </r>
  <r>
    <x v="45"/>
    <x v="11"/>
    <x v="20"/>
    <x v="10"/>
    <s v="NAF034-1229"/>
    <x v="3"/>
    <n v="0"/>
    <s v="Nguru"/>
    <x v="1"/>
    <x v="0"/>
  </r>
  <r>
    <x v="46"/>
    <x v="4"/>
    <x v="20"/>
    <x v="38"/>
    <s v="NAF-017"/>
    <x v="3"/>
    <n v="3"/>
    <s v="5 km from Kaduna Airport (KAD)"/>
    <x v="1"/>
    <x v="1"/>
  </r>
  <r>
    <x v="47"/>
    <x v="9"/>
    <x v="21"/>
    <x v="41"/>
    <s v="NAF908"/>
    <x v="35"/>
    <n v="0"/>
    <s v="Lagos-Murtala Muhammed Airport (LOS)"/>
    <x v="1"/>
    <x v="0"/>
  </r>
  <r>
    <x v="48"/>
    <x v="11"/>
    <x v="22"/>
    <x v="39"/>
    <s v="NAF911"/>
    <x v="3"/>
    <n v="159"/>
    <s v="ca 7 km SSW of Lagos-Murtala Muhammed International Airport"/>
    <x v="1"/>
    <x v="1"/>
  </r>
  <r>
    <x v="49"/>
    <x v="3"/>
    <x v="23"/>
    <x v="42"/>
    <s v="NAF904"/>
    <x v="35"/>
    <n v="18"/>
    <s v="SE off Lagos"/>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F436A5-234A-4CE2-BC83-37328AEF50E4}" name="fatalities by year"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2">
  <location ref="D7:E28" firstHeaderRow="1" firstDataRow="1" firstDataCol="1"/>
  <pivotFields count="13">
    <pivotField compact="0" numFmtId="14" outline="0" showAll="0">
      <items count="51">
        <item x="44"/>
        <item x="42"/>
        <item x="43"/>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45"/>
        <item x="46"/>
        <item x="47"/>
        <item x="48"/>
        <item x="49"/>
        <item t="default"/>
      </items>
    </pivotField>
    <pivotField compact="0" outline="0" showAll="0"/>
    <pivotField axis="axisRow" compact="0" outline="0" showAll="0">
      <items count="25">
        <item x="19"/>
        <item x="18"/>
        <item x="17"/>
        <item x="16"/>
        <item x="15"/>
        <item x="14"/>
        <item x="13"/>
        <item x="12"/>
        <item x="11"/>
        <item x="10"/>
        <item x="9"/>
        <item x="8"/>
        <item x="7"/>
        <item x="6"/>
        <item x="5"/>
        <item x="4"/>
        <item x="3"/>
        <item x="2"/>
        <item x="1"/>
        <item x="0"/>
        <item h="1" x="20"/>
        <item h="1" x="21"/>
        <item h="1" x="22"/>
        <item h="1" x="23"/>
        <item t="default"/>
      </items>
    </pivotField>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1"/>
        <item x="2"/>
        <item x="3"/>
        <item x="4"/>
        <item x="5"/>
        <item x="0"/>
        <item t="default"/>
      </items>
    </pivotField>
    <pivotField compact="0" outline="0" showAll="0">
      <items count="48">
        <item x="21"/>
        <item x="22"/>
        <item x="23"/>
        <item x="24"/>
        <item x="25"/>
        <item x="26"/>
        <item x="27"/>
        <item x="28"/>
        <item x="29"/>
        <item x="30"/>
        <item x="31"/>
        <item x="32"/>
        <item x="33"/>
        <item x="34"/>
        <item x="35"/>
        <item x="36"/>
        <item x="37"/>
        <item x="38"/>
        <item x="39"/>
        <item x="40"/>
        <item x="41"/>
        <item x="42"/>
        <item x="43"/>
        <item x="44"/>
        <item x="45"/>
        <item x="46"/>
        <item x="0"/>
        <item x="1"/>
        <item x="2"/>
        <item x="3"/>
        <item x="4"/>
        <item x="5"/>
        <item x="6"/>
        <item x="7"/>
        <item x="8"/>
        <item x="9"/>
        <item x="10"/>
        <item x="11"/>
        <item x="12"/>
        <item x="13"/>
        <item x="14"/>
        <item x="15"/>
        <item x="16"/>
        <item x="17"/>
        <item x="18"/>
        <item x="19"/>
        <item x="20"/>
        <item t="default"/>
      </items>
    </pivotField>
  </pivotFields>
  <rowFields count="1">
    <field x="2"/>
  </rowFields>
  <rowItems count="21">
    <i>
      <x/>
    </i>
    <i>
      <x v="1"/>
    </i>
    <i>
      <x v="2"/>
    </i>
    <i>
      <x v="3"/>
    </i>
    <i>
      <x v="4"/>
    </i>
    <i>
      <x v="5"/>
    </i>
    <i>
      <x v="6"/>
    </i>
    <i>
      <x v="7"/>
    </i>
    <i>
      <x v="8"/>
    </i>
    <i>
      <x v="9"/>
    </i>
    <i>
      <x v="10"/>
    </i>
    <i>
      <x v="11"/>
    </i>
    <i>
      <x v="12"/>
    </i>
    <i>
      <x v="13"/>
    </i>
    <i>
      <x v="14"/>
    </i>
    <i>
      <x v="15"/>
    </i>
    <i>
      <x v="16"/>
    </i>
    <i>
      <x v="17"/>
    </i>
    <i>
      <x v="18"/>
    </i>
    <i>
      <x v="19"/>
    </i>
    <i t="grand">
      <x/>
    </i>
  </rowItems>
  <colItems count="1">
    <i/>
  </colItems>
  <dataFields count="1">
    <dataField name="Sum of Fatalities" fld="6" baseField="0" baseItem="0"/>
  </dataFields>
  <chartFormats count="6">
    <chartFormat chart="5" format="0" series="1">
      <pivotArea type="data" outline="0" fieldPosition="0">
        <references count="1">
          <reference field="4294967294" count="1" selected="0">
            <x v="0"/>
          </reference>
        </references>
      </pivotArea>
    </chartFormat>
    <chartFormat chart="11" format="10" series="1">
      <pivotArea type="data" outline="0" fieldPosition="0">
        <references count="1">
          <reference field="4294967294" count="1" selected="0">
            <x v="0"/>
          </reference>
        </references>
      </pivotArea>
    </chartFormat>
    <chartFormat chart="11" format="11">
      <pivotArea type="data" outline="0" fieldPosition="0">
        <references count="2">
          <reference field="4294967294" count="1" selected="0">
            <x v="0"/>
          </reference>
          <reference field="2" count="1" selected="0">
            <x v="5"/>
          </reference>
        </references>
      </pivotArea>
    </chartFormat>
    <chartFormat chart="11" format="12">
      <pivotArea type="data" outline="0" fieldPosition="0">
        <references count="2">
          <reference field="4294967294" count="1" selected="0">
            <x v="0"/>
          </reference>
          <reference field="2" count="1" selected="0">
            <x v="11"/>
          </reference>
        </references>
      </pivotArea>
    </chartFormat>
    <chartFormat chart="11" format="13">
      <pivotArea type="data" outline="0" fieldPosition="0">
        <references count="2">
          <reference field="4294967294" count="1" selected="0">
            <x v="0"/>
          </reference>
          <reference field="2" count="1" selected="0">
            <x v="2"/>
          </reference>
        </references>
      </pivotArea>
    </chartFormat>
    <chartFormat chart="11" format="14">
      <pivotArea type="data" outline="0" fieldPosition="0">
        <references count="2">
          <reference field="4294967294" count="1" selected="0">
            <x v="0"/>
          </reference>
          <reference field="2" count="1" selected="0">
            <x v="1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A74C6F5-14B0-4102-B6BF-1EECE10950E0}" name="accident severity"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6">
  <location ref="J9:K13" firstHeaderRow="1" firstDataRow="1" firstDataCol="1"/>
  <pivotFields count="13">
    <pivotField compact="0" numFmtId="14" outline="0" showAll="0">
      <items count="51">
        <item x="44"/>
        <item x="42"/>
        <item x="43"/>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45"/>
        <item x="46"/>
        <item x="47"/>
        <item x="48"/>
        <item x="49"/>
        <item t="default"/>
      </items>
    </pivotField>
    <pivotField compact="0" outline="0" showAll="0">
      <items count="13">
        <item x="7"/>
        <item x="4"/>
        <item x="10"/>
        <item x="9"/>
        <item x="3"/>
        <item x="8"/>
        <item x="5"/>
        <item x="2"/>
        <item x="11"/>
        <item x="6"/>
        <item x="1"/>
        <item x="0"/>
        <item t="default"/>
      </items>
    </pivotField>
    <pivotField compact="0" outline="0" showAll="0">
      <items count="25">
        <item h="1" x="23"/>
        <item h="1" x="22"/>
        <item h="1" x="21"/>
        <item h="1" x="20"/>
        <item x="19"/>
        <item x="18"/>
        <item x="17"/>
        <item x="16"/>
        <item x="15"/>
        <item x="14"/>
        <item x="13"/>
        <item x="12"/>
        <item x="11"/>
        <item x="10"/>
        <item x="9"/>
        <item x="8"/>
        <item x="7"/>
        <item x="6"/>
        <item x="5"/>
        <item x="4"/>
        <item x="3"/>
        <item x="2"/>
        <item x="1"/>
        <item x="0"/>
        <item t="default"/>
      </items>
    </pivotField>
    <pivotField compact="0" outline="0" showAll="0"/>
    <pivotField compact="0" outline="0" showAll="0"/>
    <pivotField compact="0" outline="0" showAll="0"/>
    <pivotField compact="0" outline="0" showAll="0"/>
    <pivotField compact="0" outline="0" showAll="0"/>
    <pivotField axis="axisRow" dataField="1" compact="0" outline="0" showAll="0">
      <items count="5">
        <item x="3"/>
        <item x="2"/>
        <item x="0"/>
        <item x="1"/>
        <item t="default"/>
      </items>
    </pivotField>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1"/>
        <item x="2"/>
        <item x="3"/>
        <item x="4"/>
        <item x="5"/>
        <item x="0"/>
        <item t="default"/>
      </items>
    </pivotField>
    <pivotField compact="0" outline="0" showAll="0">
      <items count="48">
        <item x="21"/>
        <item x="22"/>
        <item x="23"/>
        <item x="24"/>
        <item x="25"/>
        <item x="26"/>
        <item x="27"/>
        <item x="28"/>
        <item x="29"/>
        <item x="30"/>
        <item x="31"/>
        <item x="32"/>
        <item x="33"/>
        <item x="34"/>
        <item x="35"/>
        <item x="36"/>
        <item x="37"/>
        <item x="38"/>
        <item x="39"/>
        <item x="40"/>
        <item x="41"/>
        <item x="42"/>
        <item x="43"/>
        <item x="44"/>
        <item x="45"/>
        <item x="46"/>
        <item x="0"/>
        <item x="1"/>
        <item x="2"/>
        <item x="3"/>
        <item x="4"/>
        <item x="5"/>
        <item x="6"/>
        <item x="7"/>
        <item x="8"/>
        <item x="9"/>
        <item x="10"/>
        <item x="11"/>
        <item x="12"/>
        <item x="13"/>
        <item x="14"/>
        <item x="15"/>
        <item x="16"/>
        <item x="17"/>
        <item x="18"/>
        <item x="19"/>
        <item x="20"/>
        <item t="default"/>
      </items>
    </pivotField>
  </pivotFields>
  <rowFields count="1">
    <field x="8"/>
  </rowFields>
  <rowItems count="4">
    <i>
      <x/>
    </i>
    <i>
      <x v="1"/>
    </i>
    <i>
      <x v="2"/>
    </i>
    <i>
      <x v="3"/>
    </i>
  </rowItems>
  <colItems count="1">
    <i/>
  </colItems>
  <dataFields count="1">
    <dataField name="Count of Status" fld="8" subtotal="count" baseField="0" baseItem="0"/>
  </dataFields>
  <chartFormats count="6">
    <chartFormat chart="0" format="0" series="1">
      <pivotArea type="data" outline="0" fieldPosition="0">
        <references count="1">
          <reference field="4294967294" count="1" selected="0">
            <x v="0"/>
          </reference>
        </references>
      </pivotArea>
    </chartFormat>
    <chartFormat chart="5" format="16" series="1">
      <pivotArea type="data" outline="0" fieldPosition="0">
        <references count="1">
          <reference field="4294967294" count="1" selected="0">
            <x v="0"/>
          </reference>
        </references>
      </pivotArea>
    </chartFormat>
    <chartFormat chart="5" format="17">
      <pivotArea type="data" outline="0" fieldPosition="0">
        <references count="2">
          <reference field="4294967294" count="1" selected="0">
            <x v="0"/>
          </reference>
          <reference field="8" count="1" selected="0">
            <x v="0"/>
          </reference>
        </references>
      </pivotArea>
    </chartFormat>
    <chartFormat chart="5" format="18">
      <pivotArea type="data" outline="0" fieldPosition="0">
        <references count="2">
          <reference field="4294967294" count="1" selected="0">
            <x v="0"/>
          </reference>
          <reference field="8" count="1" selected="0">
            <x v="1"/>
          </reference>
        </references>
      </pivotArea>
    </chartFormat>
    <chartFormat chart="5" format="19">
      <pivotArea type="data" outline="0" fieldPosition="0">
        <references count="2">
          <reference field="4294967294" count="1" selected="0">
            <x v="0"/>
          </reference>
          <reference field="8" count="1" selected="0">
            <x v="2"/>
          </reference>
        </references>
      </pivotArea>
    </chartFormat>
    <chartFormat chart="5" format="20">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EC45A91-45D4-4552-BC15-A914F889648C}" name="aircraft type and fatality"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6">
  <location ref="AB9:AC19" firstHeaderRow="1" firstDataRow="1" firstDataCol="1"/>
  <pivotFields count="13">
    <pivotField compact="0" numFmtId="14" outline="0" showAll="0">
      <items count="51">
        <item x="44"/>
        <item x="42"/>
        <item x="43"/>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45"/>
        <item x="46"/>
        <item x="47"/>
        <item x="48"/>
        <item x="49"/>
        <item t="default"/>
      </items>
    </pivotField>
    <pivotField compact="0" outline="0" showAll="0">
      <items count="13">
        <item x="7"/>
        <item x="4"/>
        <item x="10"/>
        <item x="9"/>
        <item x="3"/>
        <item x="8"/>
        <item x="5"/>
        <item x="2"/>
        <item x="11"/>
        <item x="6"/>
        <item x="1"/>
        <item x="0"/>
        <item t="default"/>
      </items>
    </pivotField>
    <pivotField compact="0" outline="0" showAll="0"/>
    <pivotField axis="axisRow" compact="0" outline="0" showAll="0" measureFilter="1">
      <items count="44">
        <item x="2"/>
        <item x="8"/>
        <item x="19"/>
        <item x="6"/>
        <item x="34"/>
        <item x="33"/>
        <item x="32"/>
        <item x="21"/>
        <item x="25"/>
        <item x="4"/>
        <item x="3"/>
        <item x="23"/>
        <item x="28"/>
        <item x="20"/>
        <item x="22"/>
        <item x="26"/>
        <item x="5"/>
        <item x="0"/>
        <item x="35"/>
        <item x="30"/>
        <item x="13"/>
        <item x="18"/>
        <item x="15"/>
        <item x="17"/>
        <item x="12"/>
        <item x="10"/>
        <item x="38"/>
        <item x="40"/>
        <item x="14"/>
        <item x="27"/>
        <item x="9"/>
        <item x="11"/>
        <item x="36"/>
        <item x="31"/>
        <item x="29"/>
        <item x="39"/>
        <item x="24"/>
        <item x="16"/>
        <item x="7"/>
        <item x="1"/>
        <item x="37"/>
        <item x="41"/>
        <item x="42"/>
        <item t="default"/>
      </items>
    </pivotField>
    <pivotField compact="0" outline="0" showAll="0"/>
    <pivotField compact="0" outline="0" showAll="0"/>
    <pivotField dataField="1"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1"/>
        <item x="2"/>
        <item x="3"/>
        <item x="4"/>
        <item x="5"/>
        <item x="0"/>
        <item t="default"/>
      </items>
    </pivotField>
    <pivotField compact="0" outline="0" showAll="0">
      <items count="48">
        <item x="21"/>
        <item x="22"/>
        <item x="23"/>
        <item x="24"/>
        <item x="25"/>
        <item x="26"/>
        <item x="27"/>
        <item x="28"/>
        <item x="29"/>
        <item x="30"/>
        <item x="31"/>
        <item x="32"/>
        <item x="33"/>
        <item x="34"/>
        <item x="35"/>
        <item x="36"/>
        <item x="37"/>
        <item x="38"/>
        <item x="39"/>
        <item x="40"/>
        <item x="41"/>
        <item x="42"/>
        <item x="43"/>
        <item x="44"/>
        <item x="45"/>
        <item x="46"/>
        <item x="0"/>
        <item x="1"/>
        <item x="2"/>
        <item x="3"/>
        <item x="4"/>
        <item x="5"/>
        <item x="6"/>
        <item x="7"/>
        <item x="8"/>
        <item x="9"/>
        <item x="10"/>
        <item x="11"/>
        <item x="12"/>
        <item x="13"/>
        <item x="14"/>
        <item x="15"/>
        <item x="16"/>
        <item x="17"/>
        <item x="18"/>
        <item x="19"/>
        <item x="20"/>
        <item t="default"/>
      </items>
    </pivotField>
  </pivotFields>
  <rowFields count="1">
    <field x="3"/>
  </rowFields>
  <rowItems count="10">
    <i>
      <x v="6"/>
    </i>
    <i>
      <x v="10"/>
    </i>
    <i>
      <x v="14"/>
    </i>
    <i>
      <x v="15"/>
    </i>
    <i>
      <x v="25"/>
    </i>
    <i>
      <x v="28"/>
    </i>
    <i>
      <x v="35"/>
    </i>
    <i>
      <x v="36"/>
    </i>
    <i>
      <x v="37"/>
    </i>
    <i>
      <x v="42"/>
    </i>
  </rowItems>
  <colItems count="1">
    <i/>
  </colItems>
  <dataFields count="1">
    <dataField name="Sum of Fatalities" fld="6" baseField="0" baseItem="0"/>
  </dataFields>
  <chartFormats count="2">
    <chartFormat chart="2" format="1"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valueGreaterThan" evalOrder="-1" id="1" iMeasureFld="0">
      <autoFilter ref="A1">
        <filterColumn colId="0">
          <customFilters>
            <customFilter operator="greaterThan" val="1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A45E8DF-7697-4ACC-BD43-0E579F748558}" name="PivotTable1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P9:Q13" firstHeaderRow="1" firstDataRow="1" firstDataCol="1"/>
  <pivotFields count="13">
    <pivotField axis="axisRow" numFmtId="14" showAll="0">
      <items count="51">
        <item x="44"/>
        <item x="42"/>
        <item x="43"/>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45"/>
        <item x="46"/>
        <item x="47"/>
        <item x="48"/>
        <item x="49"/>
        <item t="default"/>
      </items>
    </pivotField>
    <pivotField dataField="1" showAll="0" sortType="descending"/>
    <pivotField showAll="0"/>
    <pivotField showAll="0"/>
    <pivotField showAll="0"/>
    <pivotField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1"/>
        <item sd="0" x="2"/>
        <item sd="0" x="3"/>
        <item sd="0" x="4"/>
        <item sd="0" x="5"/>
        <item x="0"/>
        <item t="default"/>
      </items>
    </pivotField>
    <pivotField showAll="0">
      <items count="48">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x="0"/>
        <item x="1"/>
        <item x="2"/>
        <item x="3"/>
        <item x="4"/>
        <item x="5"/>
        <item x="6"/>
        <item x="7"/>
        <item x="8"/>
        <item x="9"/>
        <item x="10"/>
        <item x="11"/>
        <item x="12"/>
        <item x="13"/>
        <item x="14"/>
        <item x="15"/>
        <item x="16"/>
        <item x="17"/>
        <item x="18"/>
        <item x="19"/>
        <item x="20"/>
        <item t="default"/>
      </items>
    </pivotField>
  </pivotFields>
  <rowFields count="3">
    <field x="11"/>
    <field x="10"/>
    <field x="0"/>
  </rowFields>
  <rowItems count="4">
    <i>
      <x/>
    </i>
    <i>
      <x v="1"/>
    </i>
    <i>
      <x v="2"/>
    </i>
    <i>
      <x v="3"/>
    </i>
  </rowItems>
  <colItems count="1">
    <i/>
  </colItems>
  <dataFields count="1">
    <dataField name="Count of Month"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1DE689-20A5-4501-BA13-8B231F582EE8}" name="total accidents"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1:A2" firstHeaderRow="1" firstDataRow="1" firstDataCol="0"/>
  <pivotFields count="13">
    <pivotField compact="0" numFmtId="14" outline="0" showAll="0">
      <items count="51">
        <item x="44"/>
        <item x="42"/>
        <item x="43"/>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45"/>
        <item x="46"/>
        <item x="47"/>
        <item x="48"/>
        <item x="49"/>
        <item t="default"/>
      </items>
    </pivotField>
    <pivotField compact="0" outline="0" showAll="0">
      <items count="13">
        <item x="7"/>
        <item x="4"/>
        <item x="10"/>
        <item x="9"/>
        <item x="3"/>
        <item x="8"/>
        <item x="5"/>
        <item x="2"/>
        <item x="11"/>
        <item x="6"/>
        <item x="1"/>
        <item x="0"/>
        <item t="default"/>
      </items>
    </pivotField>
    <pivotField compact="0" outline="0" showAll="0">
      <items count="25">
        <item h="1" x="23"/>
        <item h="1" x="22"/>
        <item h="1" x="21"/>
        <item h="1" x="20"/>
        <item x="19"/>
        <item x="18"/>
        <item x="17"/>
        <item x="16"/>
        <item x="15"/>
        <item x="14"/>
        <item x="13"/>
        <item x="12"/>
        <item x="11"/>
        <item x="10"/>
        <item x="9"/>
        <item x="8"/>
        <item x="7"/>
        <item x="6"/>
        <item x="5"/>
        <item x="4"/>
        <item x="3"/>
        <item x="2"/>
        <item x="1"/>
        <item x="0"/>
        <item t="default"/>
      </items>
    </pivotField>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1"/>
        <item x="2"/>
        <item x="3"/>
        <item x="4"/>
        <item x="5"/>
        <item x="0"/>
        <item t="default"/>
      </items>
    </pivotField>
    <pivotField compact="0" outline="0" showAll="0">
      <items count="48">
        <item x="21"/>
        <item x="22"/>
        <item x="23"/>
        <item x="24"/>
        <item x="25"/>
        <item x="26"/>
        <item x="27"/>
        <item x="28"/>
        <item x="29"/>
        <item x="30"/>
        <item x="31"/>
        <item x="32"/>
        <item x="33"/>
        <item x="34"/>
        <item x="35"/>
        <item x="36"/>
        <item x="37"/>
        <item x="38"/>
        <item x="39"/>
        <item x="40"/>
        <item x="41"/>
        <item x="42"/>
        <item x="43"/>
        <item x="44"/>
        <item x="45"/>
        <item x="46"/>
        <item x="0"/>
        <item x="1"/>
        <item x="2"/>
        <item x="3"/>
        <item x="4"/>
        <item x="5"/>
        <item x="6"/>
        <item x="7"/>
        <item x="8"/>
        <item x="9"/>
        <item x="10"/>
        <item x="11"/>
        <item x="12"/>
        <item x="13"/>
        <item x="14"/>
        <item x="15"/>
        <item x="16"/>
        <item x="17"/>
        <item x="18"/>
        <item x="19"/>
        <item x="20"/>
        <item t="default"/>
      </items>
    </pivotField>
  </pivotFields>
  <rowItems count="1">
    <i/>
  </rowItems>
  <colItems count="1">
    <i/>
  </colItems>
  <dataFields count="1">
    <dataField name="Total accidents"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58A8F17-C5DA-471C-8437-25680C70C7F3}" name="total fataliti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A6" firstHeaderRow="1" firstDataRow="1" firstDataCol="0"/>
  <pivotFields count="13">
    <pivotField numFmtId="14" showAll="0">
      <items count="51">
        <item x="44"/>
        <item x="42"/>
        <item x="43"/>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45"/>
        <item x="46"/>
        <item x="47"/>
        <item x="48"/>
        <item x="49"/>
        <item t="default"/>
      </items>
    </pivotField>
    <pivotField showAll="0">
      <items count="13">
        <item x="7"/>
        <item x="4"/>
        <item x="10"/>
        <item x="9"/>
        <item x="3"/>
        <item x="8"/>
        <item x="5"/>
        <item x="2"/>
        <item x="11"/>
        <item x="6"/>
        <item x="1"/>
        <item x="0"/>
        <item t="default"/>
      </items>
    </pivotField>
    <pivotField showAll="0">
      <items count="25">
        <item h="1" x="23"/>
        <item h="1" x="22"/>
        <item h="1" x="21"/>
        <item h="1" x="20"/>
        <item x="19"/>
        <item x="18"/>
        <item x="17"/>
        <item x="16"/>
        <item x="15"/>
        <item x="14"/>
        <item x="13"/>
        <item x="12"/>
        <item x="11"/>
        <item x="10"/>
        <item x="9"/>
        <item x="8"/>
        <item x="7"/>
        <item x="6"/>
        <item x="5"/>
        <item x="4"/>
        <item x="3"/>
        <item x="2"/>
        <item x="1"/>
        <item x="0"/>
        <item t="default"/>
      </items>
    </pivotField>
    <pivotField showAll="0"/>
    <pivotField showAll="0"/>
    <pivotField showAll="0"/>
    <pivotField dataField="1"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1"/>
        <item x="2"/>
        <item x="3"/>
        <item x="4"/>
        <item x="5"/>
        <item x="0"/>
        <item t="default"/>
      </items>
    </pivotField>
    <pivotField showAll="0">
      <items count="48">
        <item x="21"/>
        <item x="22"/>
        <item x="23"/>
        <item x="24"/>
        <item x="25"/>
        <item x="26"/>
        <item x="27"/>
        <item x="28"/>
        <item x="29"/>
        <item x="30"/>
        <item x="31"/>
        <item x="32"/>
        <item x="33"/>
        <item x="34"/>
        <item x="35"/>
        <item x="36"/>
        <item x="37"/>
        <item x="38"/>
        <item x="39"/>
        <item x="40"/>
        <item x="41"/>
        <item x="42"/>
        <item x="43"/>
        <item x="44"/>
        <item x="45"/>
        <item x="46"/>
        <item x="0"/>
        <item x="1"/>
        <item x="2"/>
        <item x="3"/>
        <item x="4"/>
        <item x="5"/>
        <item x="6"/>
        <item x="7"/>
        <item x="8"/>
        <item x="9"/>
        <item x="10"/>
        <item x="11"/>
        <item x="12"/>
        <item x="13"/>
        <item x="14"/>
        <item x="15"/>
        <item x="16"/>
        <item x="17"/>
        <item x="18"/>
        <item x="19"/>
        <item x="20"/>
        <item t="default"/>
      </items>
    </pivotField>
  </pivotFields>
  <rowItems count="1">
    <i/>
  </rowItems>
  <colItems count="1">
    <i/>
  </colItems>
  <dataFields count="1">
    <dataField name="Total Fatalitie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B7B0651-4EB8-4B35-AC98-C10962DAFC96}" name="PivotTable1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E9:AG34" firstHeaderRow="1" firstDataRow="2" firstDataCol="1"/>
  <pivotFields count="13">
    <pivotField compact="0" numFmtId="14" outline="0" showAll="0">
      <items count="51">
        <item x="44"/>
        <item x="42"/>
        <item x="43"/>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45"/>
        <item x="46"/>
        <item x="47"/>
        <item x="48"/>
        <item x="49"/>
        <item t="default"/>
      </items>
    </pivotField>
    <pivotField compact="0" outline="0" showAll="0"/>
    <pivotField axis="axisRow" compact="0" outline="0" showAll="0">
      <items count="25">
        <item x="19"/>
        <item x="18"/>
        <item x="17"/>
        <item x="16"/>
        <item x="15"/>
        <item x="14"/>
        <item x="13"/>
        <item x="12"/>
        <item x="11"/>
        <item x="10"/>
        <item x="9"/>
        <item x="8"/>
        <item x="7"/>
        <item x="6"/>
        <item x="5"/>
        <item x="4"/>
        <item x="3"/>
        <item x="2"/>
        <item x="1"/>
        <item x="0"/>
        <item x="20"/>
        <item x="21"/>
        <item x="22"/>
        <item x="23"/>
        <item t="default"/>
      </items>
    </pivotField>
    <pivotField compact="0" outline="0" showAll="0"/>
    <pivotField compact="0" outline="0" showAll="0"/>
    <pivotField compact="0" outline="0" showAll="0"/>
    <pivotField compact="0" outline="0" showAll="0"/>
    <pivotField compact="0" outline="0" showAll="0"/>
    <pivotField compact="0" outline="0" showAll="0"/>
    <pivotField axis="axisCol" dataField="1" compact="0" outline="0" showAll="0">
      <items count="3">
        <item x="1"/>
        <item x="0"/>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1"/>
        <item x="2"/>
        <item x="3"/>
        <item x="4"/>
        <item x="5"/>
        <item x="0"/>
        <item t="default"/>
      </items>
    </pivotField>
    <pivotField compact="0" outline="0" showAll="0">
      <items count="48">
        <item x="21"/>
        <item x="22"/>
        <item x="23"/>
        <item x="24"/>
        <item x="25"/>
        <item x="26"/>
        <item x="27"/>
        <item x="28"/>
        <item x="29"/>
        <item x="30"/>
        <item x="31"/>
        <item x="32"/>
        <item x="33"/>
        <item x="34"/>
        <item x="35"/>
        <item x="36"/>
        <item x="37"/>
        <item x="38"/>
        <item x="39"/>
        <item x="40"/>
        <item x="41"/>
        <item x="42"/>
        <item x="43"/>
        <item x="44"/>
        <item x="45"/>
        <item x="46"/>
        <item x="0"/>
        <item x="1"/>
        <item x="2"/>
        <item x="3"/>
        <item x="4"/>
        <item x="5"/>
        <item x="6"/>
        <item x="7"/>
        <item x="8"/>
        <item x="9"/>
        <item x="10"/>
        <item x="11"/>
        <item x="12"/>
        <item x="13"/>
        <item x="14"/>
        <item x="15"/>
        <item x="16"/>
        <item x="17"/>
        <item x="18"/>
        <item x="19"/>
        <item x="20"/>
        <item t="default"/>
      </items>
    </pivotField>
  </pivotFields>
  <rowFields count="1">
    <field x="2"/>
  </rowFields>
  <rowItems count="24">
    <i>
      <x/>
    </i>
    <i>
      <x v="1"/>
    </i>
    <i>
      <x v="2"/>
    </i>
    <i>
      <x v="3"/>
    </i>
    <i>
      <x v="4"/>
    </i>
    <i>
      <x v="5"/>
    </i>
    <i>
      <x v="6"/>
    </i>
    <i>
      <x v="7"/>
    </i>
    <i>
      <x v="8"/>
    </i>
    <i>
      <x v="9"/>
    </i>
    <i>
      <x v="10"/>
    </i>
    <i>
      <x v="11"/>
    </i>
    <i>
      <x v="12"/>
    </i>
    <i>
      <x v="13"/>
    </i>
    <i>
      <x v="14"/>
    </i>
    <i>
      <x v="15"/>
    </i>
    <i>
      <x v="16"/>
    </i>
    <i>
      <x v="17"/>
    </i>
    <i>
      <x v="18"/>
    </i>
    <i>
      <x v="19"/>
    </i>
    <i>
      <x v="20"/>
    </i>
    <i>
      <x v="21"/>
    </i>
    <i>
      <x v="22"/>
    </i>
    <i>
      <x v="23"/>
    </i>
  </rowItems>
  <colFields count="1">
    <field x="9"/>
  </colFields>
  <colItems count="2">
    <i>
      <x/>
    </i>
    <i>
      <x v="1"/>
    </i>
  </colItems>
  <dataFields count="1">
    <dataField name="Count of Trends in SI"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747CEDC-F6BD-492B-896F-09545E1A1E7E}" name="top operators involved"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0">
  <location ref="G9:H16" firstHeaderRow="1" firstDataRow="1" firstDataCol="1"/>
  <pivotFields count="13">
    <pivotField compact="0" numFmtId="14" outline="0" showAll="0">
      <items count="51">
        <item x="44"/>
        <item x="42"/>
        <item x="43"/>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45"/>
        <item x="46"/>
        <item x="47"/>
        <item x="48"/>
        <item x="49"/>
        <item t="default"/>
      </items>
    </pivotField>
    <pivotField compact="0" outline="0" showAll="0">
      <items count="13">
        <item x="7"/>
        <item x="4"/>
        <item x="10"/>
        <item x="9"/>
        <item x="3"/>
        <item x="8"/>
        <item x="5"/>
        <item x="2"/>
        <item x="11"/>
        <item x="6"/>
        <item x="1"/>
        <item x="0"/>
        <item t="default"/>
      </items>
    </pivotField>
    <pivotField compact="0" outline="0" showAll="0"/>
    <pivotField compact="0" outline="0" showAll="0"/>
    <pivotField compact="0" outline="0" showAll="0"/>
    <pivotField axis="axisRow" dataField="1" compact="0" outline="0" showAll="0" measureFilter="1" sortType="descending">
      <items count="37">
        <item x="18"/>
        <item x="10"/>
        <item x="4"/>
        <item x="29"/>
        <item x="0"/>
        <item x="12"/>
        <item x="32"/>
        <item x="22"/>
        <item x="14"/>
        <item x="15"/>
        <item x="16"/>
        <item x="31"/>
        <item x="6"/>
        <item x="7"/>
        <item x="19"/>
        <item x="33"/>
        <item x="27"/>
        <item x="2"/>
        <item x="1"/>
        <item x="25"/>
        <item x="23"/>
        <item x="24"/>
        <item x="30"/>
        <item x="8"/>
        <item x="3"/>
        <item x="5"/>
        <item x="21"/>
        <item x="11"/>
        <item x="28"/>
        <item x="26"/>
        <item x="34"/>
        <item x="20"/>
        <item x="9"/>
        <item x="13"/>
        <item x="17"/>
        <item x="35"/>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1"/>
        <item x="2"/>
        <item x="3"/>
        <item x="4"/>
        <item x="5"/>
        <item x="0"/>
        <item t="default"/>
      </items>
    </pivotField>
    <pivotField compact="0" outline="0" showAll="0">
      <items count="48">
        <item x="21"/>
        <item x="22"/>
        <item x="23"/>
        <item x="24"/>
        <item x="25"/>
        <item x="26"/>
        <item x="27"/>
        <item x="28"/>
        <item x="29"/>
        <item x="30"/>
        <item x="31"/>
        <item x="32"/>
        <item x="33"/>
        <item x="34"/>
        <item x="35"/>
        <item x="36"/>
        <item x="37"/>
        <item x="38"/>
        <item x="39"/>
        <item x="40"/>
        <item x="41"/>
        <item x="42"/>
        <item x="43"/>
        <item x="44"/>
        <item x="45"/>
        <item x="46"/>
        <item x="0"/>
        <item x="1"/>
        <item x="2"/>
        <item x="3"/>
        <item x="4"/>
        <item x="5"/>
        <item x="6"/>
        <item x="7"/>
        <item x="8"/>
        <item x="9"/>
        <item x="10"/>
        <item x="11"/>
        <item x="12"/>
        <item x="13"/>
        <item x="14"/>
        <item x="15"/>
        <item x="16"/>
        <item x="17"/>
        <item x="18"/>
        <item x="19"/>
        <item x="20"/>
        <item t="default"/>
      </items>
    </pivotField>
  </pivotFields>
  <rowFields count="1">
    <field x="5"/>
  </rowFields>
  <rowItems count="7">
    <i>
      <x v="24"/>
    </i>
    <i>
      <x v="30"/>
    </i>
    <i>
      <x v="35"/>
    </i>
    <i>
      <x v="34"/>
    </i>
    <i>
      <x v="12"/>
    </i>
    <i>
      <x v="10"/>
    </i>
    <i>
      <x v="5"/>
    </i>
  </rowItems>
  <colItems count="1">
    <i/>
  </colItems>
  <dataFields count="1">
    <dataField name="Count of Operator" fld="5" subtotal="count" baseField="0" baseItem="0"/>
  </dataFields>
  <chartFormats count="3">
    <chartFormat chart="0" format="0"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 chart="9" format="5">
      <pivotArea type="data" outline="0" fieldPosition="0">
        <references count="2">
          <reference field="4294967294" count="1" selected="0">
            <x v="0"/>
          </reference>
          <reference field="5" count="1" selected="0">
            <x v="24"/>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1C346B2-D79E-4D5E-8CD9-92E92CF7CBD9}"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T9:V33" firstHeaderRow="0" firstDataRow="1" firstDataCol="1"/>
  <pivotFields count="13">
    <pivotField compact="0" numFmtId="14" outline="0" showAll="0">
      <items count="51">
        <item x="44"/>
        <item x="42"/>
        <item x="43"/>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45"/>
        <item x="46"/>
        <item x="47"/>
        <item x="48"/>
        <item x="49"/>
        <item t="default"/>
      </items>
    </pivotField>
    <pivotField compact="0" outline="0" showAll="0" sortType="descending"/>
    <pivotField axis="axisRow" dataField="1" compact="0" outline="0" showAll="0">
      <items count="25">
        <item x="19"/>
        <item x="18"/>
        <item x="17"/>
        <item x="16"/>
        <item x="15"/>
        <item x="14"/>
        <item x="13"/>
        <item x="12"/>
        <item x="11"/>
        <item x="10"/>
        <item x="9"/>
        <item x="8"/>
        <item x="7"/>
        <item x="6"/>
        <item x="5"/>
        <item x="4"/>
        <item x="3"/>
        <item x="2"/>
        <item x="1"/>
        <item x="0"/>
        <item x="20"/>
        <item x="21"/>
        <item x="22"/>
        <item x="23"/>
        <item t="default"/>
      </items>
    </pivotField>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1"/>
        <item x="2"/>
        <item x="3"/>
        <item x="4"/>
        <item x="5"/>
        <item x="0"/>
        <item t="default"/>
      </items>
    </pivotField>
    <pivotField compact="0" outline="0" showAll="0">
      <items count="48">
        <item x="21"/>
        <item x="22"/>
        <item x="23"/>
        <item x="24"/>
        <item x="25"/>
        <item x="26"/>
        <item x="27"/>
        <item x="28"/>
        <item x="29"/>
        <item x="30"/>
        <item x="31"/>
        <item x="32"/>
        <item x="33"/>
        <item x="34"/>
        <item x="35"/>
        <item x="36"/>
        <item x="37"/>
        <item x="38"/>
        <item x="39"/>
        <item x="40"/>
        <item x="41"/>
        <item x="42"/>
        <item x="43"/>
        <item x="44"/>
        <item x="45"/>
        <item x="46"/>
        <item x="0"/>
        <item x="1"/>
        <item x="2"/>
        <item x="3"/>
        <item x="4"/>
        <item x="5"/>
        <item x="6"/>
        <item x="7"/>
        <item x="8"/>
        <item x="9"/>
        <item x="10"/>
        <item x="11"/>
        <item x="12"/>
        <item x="13"/>
        <item x="14"/>
        <item x="15"/>
        <item x="16"/>
        <item x="17"/>
        <item x="18"/>
        <item x="19"/>
        <item x="20"/>
        <item t="default"/>
      </items>
    </pivotField>
  </pivotFields>
  <rowFields count="1">
    <field x="2"/>
  </rowFields>
  <rowItems count="24">
    <i>
      <x/>
    </i>
    <i>
      <x v="1"/>
    </i>
    <i>
      <x v="2"/>
    </i>
    <i>
      <x v="3"/>
    </i>
    <i>
      <x v="4"/>
    </i>
    <i>
      <x v="5"/>
    </i>
    <i>
      <x v="6"/>
    </i>
    <i>
      <x v="7"/>
    </i>
    <i>
      <x v="8"/>
    </i>
    <i>
      <x v="9"/>
    </i>
    <i>
      <x v="10"/>
    </i>
    <i>
      <x v="11"/>
    </i>
    <i>
      <x v="12"/>
    </i>
    <i>
      <x v="13"/>
    </i>
    <i>
      <x v="14"/>
    </i>
    <i>
      <x v="15"/>
    </i>
    <i>
      <x v="16"/>
    </i>
    <i>
      <x v="17"/>
    </i>
    <i>
      <x v="18"/>
    </i>
    <i>
      <x v="19"/>
    </i>
    <i>
      <x v="20"/>
    </i>
    <i>
      <x v="21"/>
    </i>
    <i>
      <x v="22"/>
    </i>
    <i>
      <x v="23"/>
    </i>
  </rowItems>
  <colFields count="1">
    <field x="-2"/>
  </colFields>
  <colItems count="2">
    <i>
      <x/>
    </i>
    <i i="1">
      <x v="1"/>
    </i>
  </colItems>
  <dataFields count="2">
    <dataField name="Sum of Fatalities" fld="6" baseField="0" baseItem="0"/>
    <dataField name="Count of Year"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99C8315-DC2C-4AD4-B1DE-231BC336697E}"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6">
  <location ref="M9:N21" firstHeaderRow="1" firstDataRow="1" firstDataCol="1"/>
  <pivotFields count="13">
    <pivotField compact="0" numFmtId="14" outline="0" showAll="0">
      <items count="51">
        <item x="44"/>
        <item x="42"/>
        <item x="43"/>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45"/>
        <item x="46"/>
        <item x="47"/>
        <item x="48"/>
        <item x="49"/>
        <item t="default"/>
      </items>
    </pivotField>
    <pivotField axis="axisRow" dataField="1" compact="0" outline="0" showAll="0" sortType="descending">
      <items count="13">
        <item x="0"/>
        <item x="1"/>
        <item x="6"/>
        <item x="11"/>
        <item x="2"/>
        <item x="5"/>
        <item x="8"/>
        <item x="3"/>
        <item x="9"/>
        <item x="10"/>
        <item x="4"/>
        <item x="7"/>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1"/>
        <item x="2"/>
        <item x="3"/>
        <item x="4"/>
        <item x="5"/>
        <item x="0"/>
        <item t="default"/>
      </items>
    </pivotField>
    <pivotField compact="0" outline="0" showAll="0">
      <items count="48">
        <item x="21"/>
        <item x="22"/>
        <item x="23"/>
        <item x="24"/>
        <item x="25"/>
        <item x="26"/>
        <item x="27"/>
        <item x="28"/>
        <item x="29"/>
        <item x="30"/>
        <item x="31"/>
        <item x="32"/>
        <item x="33"/>
        <item x="34"/>
        <item x="35"/>
        <item x="36"/>
        <item x="37"/>
        <item x="38"/>
        <item x="39"/>
        <item x="40"/>
        <item x="41"/>
        <item x="42"/>
        <item x="43"/>
        <item x="44"/>
        <item x="45"/>
        <item x="46"/>
        <item x="0"/>
        <item x="1"/>
        <item x="2"/>
        <item x="3"/>
        <item x="4"/>
        <item x="5"/>
        <item x="6"/>
        <item x="7"/>
        <item x="8"/>
        <item x="9"/>
        <item x="10"/>
        <item x="11"/>
        <item x="12"/>
        <item x="13"/>
        <item x="14"/>
        <item x="15"/>
        <item x="16"/>
        <item x="17"/>
        <item x="18"/>
        <item x="19"/>
        <item x="20"/>
        <item t="default"/>
      </items>
    </pivotField>
  </pivotFields>
  <rowFields count="1">
    <field x="1"/>
  </rowFields>
  <rowItems count="12">
    <i>
      <x/>
    </i>
    <i>
      <x v="1"/>
    </i>
    <i>
      <x v="2"/>
    </i>
    <i>
      <x v="3"/>
    </i>
    <i>
      <x v="4"/>
    </i>
    <i>
      <x v="5"/>
    </i>
    <i>
      <x v="6"/>
    </i>
    <i>
      <x v="7"/>
    </i>
    <i>
      <x v="8"/>
    </i>
    <i>
      <x v="9"/>
    </i>
    <i>
      <x v="10"/>
    </i>
    <i>
      <x v="11"/>
    </i>
  </rowItems>
  <colItems count="1">
    <i/>
  </colItems>
  <dataFields count="1">
    <dataField name="Count of Month" fld="1" subtotal="count" baseField="0" baseItem="0"/>
  </dataFields>
  <chartFormats count="2">
    <chartFormat chart="0"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159314A-C554-4B76-A790-A4F675B348DD}" name="operator specific fatality rat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6">
  <location ref="Y9:Z18" firstHeaderRow="1" firstDataRow="1" firstDataCol="1"/>
  <pivotFields count="13">
    <pivotField compact="0" numFmtId="14" outline="0" showAll="0">
      <items count="51">
        <item x="44"/>
        <item x="42"/>
        <item x="43"/>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45"/>
        <item x="46"/>
        <item x="47"/>
        <item x="48"/>
        <item x="49"/>
        <item t="default"/>
      </items>
    </pivotField>
    <pivotField compact="0" outline="0" showAll="0">
      <items count="13">
        <item x="7"/>
        <item x="4"/>
        <item x="10"/>
        <item x="9"/>
        <item x="3"/>
        <item x="8"/>
        <item x="5"/>
        <item x="2"/>
        <item x="11"/>
        <item x="6"/>
        <item x="1"/>
        <item x="0"/>
        <item t="default"/>
      </items>
    </pivotField>
    <pivotField compact="0" outline="0" showAll="0"/>
    <pivotField compact="0" outline="0" showAll="0"/>
    <pivotField compact="0" outline="0" showAll="0"/>
    <pivotField axis="axisRow" compact="0" outline="0" showAll="0" measureFilter="1" sortType="ascending">
      <items count="37">
        <item x="18"/>
        <item x="10"/>
        <item x="4"/>
        <item x="29"/>
        <item x="0"/>
        <item x="12"/>
        <item x="32"/>
        <item x="22"/>
        <item x="14"/>
        <item x="15"/>
        <item x="16"/>
        <item x="31"/>
        <item x="6"/>
        <item x="7"/>
        <item x="19"/>
        <item x="33"/>
        <item x="27"/>
        <item x="2"/>
        <item x="1"/>
        <item x="25"/>
        <item x="23"/>
        <item x="24"/>
        <item x="30"/>
        <item x="8"/>
        <item x="3"/>
        <item x="5"/>
        <item x="21"/>
        <item x="11"/>
        <item x="28"/>
        <item x="26"/>
        <item x="34"/>
        <item x="20"/>
        <item x="9"/>
        <item x="13"/>
        <item x="17"/>
        <item x="35"/>
        <item t="default"/>
      </items>
      <autoSortScope>
        <pivotArea dataOnly="0" outline="0" fieldPosition="0">
          <references count="1">
            <reference field="4294967294" count="1" selected="0">
              <x v="0"/>
            </reference>
          </references>
        </pivotArea>
      </autoSortScope>
    </pivotField>
    <pivotField dataField="1"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1"/>
        <item x="2"/>
        <item x="3"/>
        <item x="4"/>
        <item x="5"/>
        <item x="0"/>
        <item t="default"/>
      </items>
    </pivotField>
    <pivotField compact="0" outline="0" showAll="0">
      <items count="48">
        <item x="21"/>
        <item x="22"/>
        <item x="23"/>
        <item x="24"/>
        <item x="25"/>
        <item x="26"/>
        <item x="27"/>
        <item x="28"/>
        <item x="29"/>
        <item x="30"/>
        <item x="31"/>
        <item x="32"/>
        <item x="33"/>
        <item x="34"/>
        <item x="35"/>
        <item x="36"/>
        <item x="37"/>
        <item x="38"/>
        <item x="39"/>
        <item x="40"/>
        <item x="41"/>
        <item x="42"/>
        <item x="43"/>
        <item x="44"/>
        <item x="45"/>
        <item x="46"/>
        <item x="0"/>
        <item x="1"/>
        <item x="2"/>
        <item x="3"/>
        <item x="4"/>
        <item x="5"/>
        <item x="6"/>
        <item x="7"/>
        <item x="8"/>
        <item x="9"/>
        <item x="10"/>
        <item x="11"/>
        <item x="12"/>
        <item x="13"/>
        <item x="14"/>
        <item x="15"/>
        <item x="16"/>
        <item x="17"/>
        <item x="18"/>
        <item x="19"/>
        <item x="20"/>
        <item t="default"/>
      </items>
    </pivotField>
  </pivotFields>
  <rowFields count="1">
    <field x="5"/>
  </rowFields>
  <rowItems count="9">
    <i>
      <x v="29"/>
    </i>
    <i>
      <x v="5"/>
    </i>
    <i>
      <x v="35"/>
    </i>
    <i>
      <x/>
    </i>
    <i>
      <x v="16"/>
    </i>
    <i>
      <x v="31"/>
    </i>
    <i>
      <x v="7"/>
    </i>
    <i>
      <x v="12"/>
    </i>
    <i>
      <x v="24"/>
    </i>
  </rowItems>
  <colItems count="1">
    <i/>
  </colItems>
  <dataFields count="1">
    <dataField name="Sum of Fatalities" fld="6" baseField="0" baseItem="0"/>
  </dataFields>
  <chartFormats count="2">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5" count="1" selected="0">
            <x v="24"/>
          </reference>
        </references>
      </pivotArea>
    </chartFormat>
  </chartFormats>
  <pivotTableStyleInfo name="PivotStyleLight16" showRowHeaders="1" showColHeaders="1" showRowStripes="0" showColStripes="0" showLastColumn="1"/>
  <filters count="1">
    <filter fld="5" type="valueGreaterThanOrEqual" evalOrder="-1" id="1" iMeasureFld="0">
      <autoFilter ref="A1">
        <filterColumn colId="0">
          <customFilters>
            <customFilter operator="greaterThanOrEqual" val="5"/>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C356484-8D3A-4A9A-BA51-2C363E48533F}" name="accident by year"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2">
  <location ref="A9:B29" firstHeaderRow="1" firstDataRow="1" firstDataCol="1"/>
  <pivotFields count="13">
    <pivotField compact="0" numFmtId="14" outline="0" showAll="0">
      <items count="51">
        <item x="44"/>
        <item x="42"/>
        <item x="43"/>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45"/>
        <item x="46"/>
        <item x="47"/>
        <item x="48"/>
        <item x="49"/>
        <item t="default"/>
      </items>
    </pivotField>
    <pivotField compact="0" outline="0" showAll="0"/>
    <pivotField axis="axisRow" dataField="1" compact="0" outline="0" showAll="0">
      <items count="25">
        <item x="19"/>
        <item x="18"/>
        <item x="17"/>
        <item x="16"/>
        <item x="15"/>
        <item x="14"/>
        <item x="13"/>
        <item x="12"/>
        <item x="11"/>
        <item x="10"/>
        <item x="9"/>
        <item x="8"/>
        <item x="7"/>
        <item x="6"/>
        <item x="5"/>
        <item x="4"/>
        <item x="3"/>
        <item x="2"/>
        <item x="1"/>
        <item x="0"/>
        <item h="1" x="20"/>
        <item h="1" x="21"/>
        <item h="1" x="22"/>
        <item h="1" x="2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1"/>
        <item x="2"/>
        <item x="3"/>
        <item x="4"/>
        <item x="5"/>
        <item x="0"/>
        <item t="default"/>
      </items>
    </pivotField>
    <pivotField compact="0" outline="0" showAll="0">
      <items count="48">
        <item x="21"/>
        <item x="22"/>
        <item x="23"/>
        <item x="24"/>
        <item x="25"/>
        <item x="26"/>
        <item x="27"/>
        <item x="28"/>
        <item x="29"/>
        <item x="30"/>
        <item x="31"/>
        <item x="32"/>
        <item x="33"/>
        <item x="34"/>
        <item x="35"/>
        <item x="36"/>
        <item x="37"/>
        <item x="38"/>
        <item x="39"/>
        <item x="40"/>
        <item x="41"/>
        <item x="42"/>
        <item x="43"/>
        <item x="44"/>
        <item x="45"/>
        <item x="46"/>
        <item x="0"/>
        <item x="1"/>
        <item x="2"/>
        <item x="3"/>
        <item x="4"/>
        <item x="5"/>
        <item x="6"/>
        <item x="7"/>
        <item x="8"/>
        <item x="9"/>
        <item x="10"/>
        <item x="11"/>
        <item x="12"/>
        <item x="13"/>
        <item x="14"/>
        <item x="15"/>
        <item x="16"/>
        <item x="17"/>
        <item x="18"/>
        <item x="19"/>
        <item x="20"/>
        <item t="default"/>
      </items>
    </pivotField>
  </pivotFields>
  <rowFields count="1">
    <field x="2"/>
  </rowFields>
  <rowItems count="20">
    <i>
      <x/>
    </i>
    <i>
      <x v="1"/>
    </i>
    <i>
      <x v="2"/>
    </i>
    <i>
      <x v="3"/>
    </i>
    <i>
      <x v="4"/>
    </i>
    <i>
      <x v="5"/>
    </i>
    <i>
      <x v="6"/>
    </i>
    <i>
      <x v="7"/>
    </i>
    <i>
      <x v="8"/>
    </i>
    <i>
      <x v="9"/>
    </i>
    <i>
      <x v="10"/>
    </i>
    <i>
      <x v="11"/>
    </i>
    <i>
      <x v="12"/>
    </i>
    <i>
      <x v="13"/>
    </i>
    <i>
      <x v="14"/>
    </i>
    <i>
      <x v="15"/>
    </i>
    <i>
      <x v="16"/>
    </i>
    <i>
      <x v="17"/>
    </i>
    <i>
      <x v="18"/>
    </i>
    <i>
      <x v="19"/>
    </i>
  </rowItems>
  <colItems count="1">
    <i/>
  </colItems>
  <dataFields count="1">
    <dataField name="Count of Year" fld="2" subtotal="count" baseField="0" baseItem="0"/>
  </dataFields>
  <chartFormats count="2">
    <chartFormat chart="4" format="0" series="1">
      <pivotArea type="data" outline="0" fieldPosition="0">
        <references count="1">
          <reference field="4294967294" count="1" selected="0">
            <x v="0"/>
          </reference>
        </references>
      </pivotArea>
    </chartFormat>
    <chartFormat chart="11"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4EEF2558-4EEA-442C-B7E5-45F3B4D5432D}" sourceName="Month">
  <pivotTables>
    <pivotTable tabId="2" name="accident severity"/>
    <pivotTable tabId="2" name="top operators involved"/>
    <pivotTable tabId="2" name="total accidents"/>
    <pivotTable tabId="2" name="total fatalities"/>
    <pivotTable tabId="2" name="operator specific fatality rate"/>
    <pivotTable tabId="2" name="aircraft type and fatality"/>
  </pivotTables>
  <data>
    <tabular pivotCacheId="84214725">
      <items count="12">
        <i x="7" s="1"/>
        <i x="4" s="1"/>
        <i x="10" s="1"/>
        <i x="9" s="1"/>
        <i x="3" s="1"/>
        <i x="8" s="1"/>
        <i x="5" s="1"/>
        <i x="2" s="1"/>
        <i x="11" s="1"/>
        <i x="6"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70FCAD5F-8040-4F27-AE99-D9CAA4C872A6}" sourceName="Year">
  <pivotTables>
    <pivotTable tabId="2" name="fatalities by year"/>
    <pivotTable tabId="2" name="accident by year"/>
    <pivotTable tabId="2" name="accident severity"/>
    <pivotTable tabId="2" name="total accidents"/>
    <pivotTable tabId="2" name="total fatalities"/>
  </pivotTables>
  <data>
    <tabular pivotCacheId="84214725">
      <items count="24">
        <i x="23"/>
        <i x="22"/>
        <i x="21"/>
        <i x="20"/>
        <i x="19" s="1"/>
        <i x="18" s="1"/>
        <i x="17" s="1"/>
        <i x="16" s="1"/>
        <i x="15" s="1"/>
        <i x="14" s="1"/>
        <i x="13" s="1"/>
        <i x="12" s="1"/>
        <i x="11" s="1"/>
        <i x="10" s="1"/>
        <i x="9" s="1"/>
        <i x="8" s="1"/>
        <i x="7" s="1"/>
        <i x="6" s="1"/>
        <i x="5" s="1"/>
        <i x="4" s="1"/>
        <i x="3" s="1"/>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F21DB065-8CD1-4278-87CD-F7B57235DCC9}" cache="Slicer_Month" caption="Month" style="Slicer Style 1" rowHeight="241300"/>
  <slicer name="Year" xr10:uid="{D82F40BD-9E18-4DE4-8968-9308A3170E5D}" cache="Slicer_Year" caption="Year" startItem="6"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09EC1E-40BB-4E82-B411-F55CE54F2395}" name="Table1" displayName="Table1" ref="A1:J52" totalsRowShown="0">
  <tableColumns count="10">
    <tableColumn id="1" xr3:uid="{9C789E98-2FE3-4ED0-84D2-2C8D03BEFCFD}" name="Date" dataDxfId="4"/>
    <tableColumn id="9" xr3:uid="{39E2B602-BEB9-4433-BDB5-7E88163107C8}" name="Month" dataDxfId="3">
      <calculatedColumnFormula>TEXT(Table1[[#This Row],[Date]],"mmmm")</calculatedColumnFormula>
    </tableColumn>
    <tableColumn id="8" xr3:uid="{C407C1B6-580D-4AD4-8FC1-70C3D4D4B7F7}" name="Year" dataDxfId="2">
      <calculatedColumnFormula>TEXT(Table1[[#This Row],[Date]],"yyyy")</calculatedColumnFormula>
    </tableColumn>
    <tableColumn id="2" xr3:uid="{DA571ED2-20A1-4553-AD4F-5C4CC2347C68}" name="Aircraft Type"/>
    <tableColumn id="3" xr3:uid="{9D0614C8-E49A-4618-BD45-4FB940BCADDE}" name="Registration."/>
    <tableColumn id="4" xr3:uid="{0EA1DFCF-6CA2-4673-8097-09AF6D1E2CD8}" name="Operator"/>
    <tableColumn id="5" xr3:uid="{7B8AE129-637D-4AC8-944B-BE7534582C3F}" name="Fatalities" dataDxfId="1"/>
    <tableColumn id="6" xr3:uid="{FE15312A-1CA6-42F4-9C98-8D6AA3B80070}" name="Location"/>
    <tableColumn id="7" xr3:uid="{68A4B9CE-42C9-4DFA-AB61-FC6102911AC4}" name="Status"/>
    <tableColumn id="10" xr3:uid="{1332286C-F1C8-4B38-8FCC-4AC1032C64F9}" name="Trends in SI" dataDxfId="0">
      <calculatedColumnFormula>IF(Table1[[#This Row],[Fatalities]] &gt; 0, "Fatal","Non-Fatal")</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5F990-301C-45B3-AB2F-99428FDF1104}">
  <dimension ref="A1:N98"/>
  <sheetViews>
    <sheetView workbookViewId="0">
      <selection activeCell="F69" sqref="F69"/>
    </sheetView>
  </sheetViews>
  <sheetFormatPr defaultRowHeight="14.4" x14ac:dyDescent="0.3"/>
  <cols>
    <col min="1" max="3" width="15" customWidth="1"/>
    <col min="4" max="4" width="36.88671875" bestFit="1" customWidth="1"/>
    <col min="5" max="5" width="14.44140625" customWidth="1"/>
    <col min="6" max="6" width="38.5546875" bestFit="1" customWidth="1"/>
    <col min="7" max="7" width="11.33203125" style="2" customWidth="1"/>
    <col min="8" max="8" width="60.44140625" bestFit="1" customWidth="1"/>
    <col min="9" max="9" width="25.33203125" bestFit="1" customWidth="1"/>
    <col min="10" max="10" width="25.33203125" customWidth="1"/>
    <col min="11" max="11" width="9.109375" customWidth="1"/>
    <col min="12" max="12" width="4.109375" bestFit="1" customWidth="1"/>
  </cols>
  <sheetData>
    <row r="1" spans="1:14" x14ac:dyDescent="0.3">
      <c r="A1" t="s">
        <v>0</v>
      </c>
      <c r="B1" t="s">
        <v>166</v>
      </c>
      <c r="C1" t="s">
        <v>165</v>
      </c>
      <c r="D1" t="s">
        <v>164</v>
      </c>
      <c r="E1" t="s">
        <v>163</v>
      </c>
      <c r="F1" t="s">
        <v>1</v>
      </c>
      <c r="G1" s="2" t="s">
        <v>2</v>
      </c>
      <c r="H1" t="s">
        <v>3</v>
      </c>
      <c r="I1" t="s">
        <v>4</v>
      </c>
      <c r="J1" t="s">
        <v>207</v>
      </c>
      <c r="M1" t="s">
        <v>22</v>
      </c>
      <c r="N1" t="s">
        <v>162</v>
      </c>
    </row>
    <row r="2" spans="1:14" x14ac:dyDescent="0.3">
      <c r="A2" s="1">
        <v>45637</v>
      </c>
      <c r="B2" s="1" t="str">
        <f>TEXT(Table1[[#This Row],[Date]],"mmmm")</f>
        <v>December</v>
      </c>
      <c r="C2" s="1" t="str">
        <f>TEXT(Table1[[#This Row],[Date]],"yyyy")</f>
        <v>2024</v>
      </c>
      <c r="D2" t="s">
        <v>5</v>
      </c>
      <c r="E2" t="s">
        <v>6</v>
      </c>
      <c r="F2" t="s">
        <v>7</v>
      </c>
      <c r="G2" s="7">
        <v>0</v>
      </c>
      <c r="H2" t="s">
        <v>8</v>
      </c>
      <c r="I2" t="s">
        <v>9</v>
      </c>
      <c r="J2" t="str">
        <f>IF(Table1[[#This Row],[Fatalities]] &gt; 0, "Fatal","Non-Fatal")</f>
        <v>Non-Fatal</v>
      </c>
      <c r="M2" t="s">
        <v>9</v>
      </c>
      <c r="N2" t="s">
        <v>159</v>
      </c>
    </row>
    <row r="3" spans="1:14" x14ac:dyDescent="0.3">
      <c r="A3" s="1">
        <v>45233</v>
      </c>
      <c r="B3" s="1" t="str">
        <f>TEXT(Table1[[#This Row],[Date]],"mmmm")</f>
        <v>November</v>
      </c>
      <c r="C3" s="1" t="str">
        <f>TEXT(Table1[[#This Row],[Date]],"yyyy")</f>
        <v>2023</v>
      </c>
      <c r="D3" t="s">
        <v>10</v>
      </c>
      <c r="E3" t="s">
        <v>11</v>
      </c>
      <c r="F3" t="s">
        <v>12</v>
      </c>
      <c r="G3" s="7">
        <v>0</v>
      </c>
      <c r="H3" t="s">
        <v>13</v>
      </c>
      <c r="I3" t="s">
        <v>9</v>
      </c>
      <c r="J3" t="str">
        <f>IF(Table1[[#This Row],[Fatalities]] &gt; 0, "Fatal","Non-Fatal")</f>
        <v>Non-Fatal</v>
      </c>
      <c r="M3" t="s">
        <v>72</v>
      </c>
      <c r="N3" t="s">
        <v>160</v>
      </c>
    </row>
    <row r="4" spans="1:14" x14ac:dyDescent="0.3">
      <c r="A4" s="1">
        <v>44411</v>
      </c>
      <c r="B4" s="1" t="str">
        <f>TEXT(Table1[[#This Row],[Date]],"mmmm")</f>
        <v>August</v>
      </c>
      <c r="C4" s="1" t="str">
        <f>TEXT(Table1[[#This Row],[Date]],"yyyy")</f>
        <v>2021</v>
      </c>
      <c r="D4" t="s">
        <v>14</v>
      </c>
      <c r="E4" t="s">
        <v>15</v>
      </c>
      <c r="F4" t="s">
        <v>16</v>
      </c>
      <c r="G4" s="7">
        <v>0</v>
      </c>
      <c r="H4" t="s">
        <v>17</v>
      </c>
      <c r="I4" t="s">
        <v>9</v>
      </c>
      <c r="J4" t="str">
        <f>IF(Table1[[#This Row],[Fatalities]] &gt; 0, "Fatal","Non-Fatal")</f>
        <v>Non-Fatal</v>
      </c>
      <c r="M4" t="s">
        <v>40</v>
      </c>
      <c r="N4" t="s">
        <v>161</v>
      </c>
    </row>
    <row r="5" spans="1:14" x14ac:dyDescent="0.3">
      <c r="A5" s="1">
        <v>44337</v>
      </c>
      <c r="B5" s="1" t="str">
        <f>TEXT(Table1[[#This Row],[Date]],"mmmm")</f>
        <v>May</v>
      </c>
      <c r="C5" s="1" t="str">
        <f>TEXT(Table1[[#This Row],[Date]],"yyyy")</f>
        <v>2021</v>
      </c>
      <c r="D5" t="s">
        <v>18</v>
      </c>
      <c r="E5" t="s">
        <v>19</v>
      </c>
      <c r="F5" t="s">
        <v>20</v>
      </c>
      <c r="G5" s="7">
        <v>11</v>
      </c>
      <c r="H5" t="s">
        <v>21</v>
      </c>
      <c r="I5" t="s">
        <v>22</v>
      </c>
      <c r="J5" t="str">
        <f>IF(Table1[[#This Row],[Fatalities]] &gt; 0, "Fatal","Non-Fatal")</f>
        <v>Fatal</v>
      </c>
    </row>
    <row r="6" spans="1:14" x14ac:dyDescent="0.3">
      <c r="A6" s="1">
        <v>44248</v>
      </c>
      <c r="B6" s="1" t="str">
        <f>TEXT(Table1[[#This Row],[Date]],"mmmm")</f>
        <v>February</v>
      </c>
      <c r="C6" s="1" t="str">
        <f>TEXT(Table1[[#This Row],[Date]],"yyyy")</f>
        <v>2021</v>
      </c>
      <c r="D6" t="s">
        <v>23</v>
      </c>
      <c r="E6" t="s">
        <v>24</v>
      </c>
      <c r="F6" t="s">
        <v>20</v>
      </c>
      <c r="G6" s="7">
        <v>7</v>
      </c>
      <c r="H6" t="s">
        <v>25</v>
      </c>
      <c r="I6" t="s">
        <v>22</v>
      </c>
      <c r="J6" t="str">
        <f>IF(Table1[[#This Row],[Fatalities]] &gt; 0, "Fatal","Non-Fatal")</f>
        <v>Fatal</v>
      </c>
    </row>
    <row r="7" spans="1:14" x14ac:dyDescent="0.3">
      <c r="A7" s="1">
        <v>43669</v>
      </c>
      <c r="B7" s="1" t="str">
        <f>TEXT(Table1[[#This Row],[Date]],"mmmm")</f>
        <v>July</v>
      </c>
      <c r="C7" s="1" t="str">
        <f>TEXT(Table1[[#This Row],[Date]],"yyyy")</f>
        <v>2019</v>
      </c>
      <c r="D7" t="s">
        <v>26</v>
      </c>
      <c r="E7" t="s">
        <v>27</v>
      </c>
      <c r="F7" t="s">
        <v>28</v>
      </c>
      <c r="G7" s="7">
        <v>0</v>
      </c>
      <c r="H7" t="s">
        <v>17</v>
      </c>
      <c r="I7" t="s">
        <v>9</v>
      </c>
      <c r="J7" t="str">
        <f>IF(Table1[[#This Row],[Fatalities]] &gt; 0, "Fatal","Non-Fatal")</f>
        <v>Non-Fatal</v>
      </c>
    </row>
    <row r="8" spans="1:14" x14ac:dyDescent="0.3">
      <c r="A8" s="1">
        <v>43385</v>
      </c>
      <c r="B8" s="1" t="str">
        <f>TEXT(Table1[[#This Row],[Date]],"mmmm")</f>
        <v>October</v>
      </c>
      <c r="C8" s="1" t="str">
        <f>TEXT(Table1[[#This Row],[Date]],"yyyy")</f>
        <v>2018</v>
      </c>
      <c r="D8" t="s">
        <v>29</v>
      </c>
      <c r="E8" t="s">
        <v>30</v>
      </c>
      <c r="F8" t="s">
        <v>31</v>
      </c>
      <c r="G8" s="7">
        <v>0</v>
      </c>
      <c r="H8" t="s">
        <v>17</v>
      </c>
      <c r="I8" t="s">
        <v>22</v>
      </c>
      <c r="J8" t="str">
        <f>IF(Table1[[#This Row],[Fatalities]] &gt; 0, "Fatal","Non-Fatal")</f>
        <v>Non-Fatal</v>
      </c>
    </row>
    <row r="9" spans="1:14" x14ac:dyDescent="0.3">
      <c r="A9" s="1">
        <v>43151</v>
      </c>
      <c r="B9" s="1" t="str">
        <f>TEXT(Table1[[#This Row],[Date]],"mmmm")</f>
        <v>February</v>
      </c>
      <c r="C9" s="1" t="str">
        <f>TEXT(Table1[[#This Row],[Date]],"yyyy")</f>
        <v>2018</v>
      </c>
      <c r="D9" t="s">
        <v>32</v>
      </c>
      <c r="E9" t="s">
        <v>33</v>
      </c>
      <c r="F9" t="s">
        <v>34</v>
      </c>
      <c r="G9" s="7">
        <v>0</v>
      </c>
      <c r="H9" t="s">
        <v>35</v>
      </c>
      <c r="I9" t="s">
        <v>9</v>
      </c>
      <c r="J9" t="str">
        <f>IF(Table1[[#This Row],[Fatalities]] &gt; 0, "Fatal","Non-Fatal")</f>
        <v>Non-Fatal</v>
      </c>
    </row>
    <row r="10" spans="1:14" x14ac:dyDescent="0.3">
      <c r="A10" s="1">
        <v>43144</v>
      </c>
      <c r="B10" s="1" t="str">
        <f>TEXT(Table1[[#This Row],[Date]],"mmmm")</f>
        <v>February</v>
      </c>
      <c r="C10" s="1" t="str">
        <f>TEXT(Table1[[#This Row],[Date]],"yyyy")</f>
        <v>2018</v>
      </c>
      <c r="D10" t="s">
        <v>36</v>
      </c>
      <c r="E10" t="s">
        <v>37</v>
      </c>
      <c r="F10" t="s">
        <v>38</v>
      </c>
      <c r="G10" s="7">
        <v>0</v>
      </c>
      <c r="H10" t="s">
        <v>39</v>
      </c>
      <c r="I10" t="s">
        <v>40</v>
      </c>
      <c r="J10" t="str">
        <f>IF(Table1[[#This Row],[Fatalities]] &gt; 0, "Fatal","Non-Fatal")</f>
        <v>Non-Fatal</v>
      </c>
    </row>
    <row r="11" spans="1:14" x14ac:dyDescent="0.3">
      <c r="A11" s="1">
        <v>43125</v>
      </c>
      <c r="B11" s="1" t="str">
        <f>TEXT(Table1[[#This Row],[Date]],"mmmm")</f>
        <v>January</v>
      </c>
      <c r="C11" s="1" t="str">
        <f>TEXT(Table1[[#This Row],[Date]],"yyyy")</f>
        <v>2018</v>
      </c>
      <c r="D11" t="s">
        <v>41</v>
      </c>
      <c r="E11" t="s">
        <v>42</v>
      </c>
      <c r="F11" t="s">
        <v>43</v>
      </c>
      <c r="G11" s="7">
        <v>0</v>
      </c>
      <c r="H11" t="s">
        <v>8</v>
      </c>
      <c r="I11" t="s">
        <v>9</v>
      </c>
      <c r="J11" t="str">
        <f>IF(Table1[[#This Row],[Fatalities]] &gt; 0, "Fatal","Non-Fatal")</f>
        <v>Non-Fatal</v>
      </c>
    </row>
    <row r="12" spans="1:14" x14ac:dyDescent="0.3">
      <c r="A12" s="1">
        <v>42245</v>
      </c>
      <c r="B12" s="1" t="str">
        <f>TEXT(Table1[[#This Row],[Date]],"mmmm")</f>
        <v>August</v>
      </c>
      <c r="C12" s="1" t="str">
        <f>TEXT(Table1[[#This Row],[Date]],"yyyy")</f>
        <v>2015</v>
      </c>
      <c r="D12" t="s">
        <v>44</v>
      </c>
      <c r="E12" t="s">
        <v>45</v>
      </c>
      <c r="F12" t="s">
        <v>20</v>
      </c>
      <c r="G12" s="7">
        <v>7</v>
      </c>
      <c r="H12" t="s">
        <v>46</v>
      </c>
      <c r="I12" t="s">
        <v>22</v>
      </c>
      <c r="J12" t="str">
        <f>IF(Table1[[#This Row],[Fatalities]] &gt; 0, "Fatal","Non-Fatal")</f>
        <v>Fatal</v>
      </c>
    </row>
    <row r="13" spans="1:14" x14ac:dyDescent="0.3">
      <c r="A13" s="1">
        <v>42166</v>
      </c>
      <c r="B13" s="1" t="str">
        <f>TEXT(Table1[[#This Row],[Date]],"mmmm")</f>
        <v>June</v>
      </c>
      <c r="C13" s="1" t="str">
        <f>TEXT(Table1[[#This Row],[Date]],"yyyy")</f>
        <v>2015</v>
      </c>
      <c r="D13" t="s">
        <v>47</v>
      </c>
      <c r="E13" t="s">
        <v>48</v>
      </c>
      <c r="F13" t="s">
        <v>158</v>
      </c>
      <c r="G13" s="7">
        <v>0</v>
      </c>
      <c r="H13" t="s">
        <v>35</v>
      </c>
      <c r="I13" t="s">
        <v>9</v>
      </c>
      <c r="J13" t="str">
        <f>IF(Table1[[#This Row],[Fatalities]] &gt; 0, "Fatal","Non-Fatal")</f>
        <v>Non-Fatal</v>
      </c>
    </row>
    <row r="14" spans="1:14" x14ac:dyDescent="0.3">
      <c r="A14" s="1">
        <v>41758</v>
      </c>
      <c r="B14" s="1" t="str">
        <f>TEXT(Table1[[#This Row],[Date]],"mmmm")</f>
        <v>April</v>
      </c>
      <c r="C14" s="1" t="str">
        <f>TEXT(Table1[[#This Row],[Date]],"yyyy")</f>
        <v>2014</v>
      </c>
      <c r="D14" t="s">
        <v>49</v>
      </c>
      <c r="E14" t="s">
        <v>50</v>
      </c>
      <c r="F14" t="s">
        <v>51</v>
      </c>
      <c r="G14" s="7">
        <v>0</v>
      </c>
      <c r="H14" t="s">
        <v>17</v>
      </c>
      <c r="I14" t="s">
        <v>9</v>
      </c>
      <c r="J14" t="str">
        <f>IF(Table1[[#This Row],[Fatalities]] &gt; 0, "Fatal","Non-Fatal")</f>
        <v>Non-Fatal</v>
      </c>
    </row>
    <row r="15" spans="1:14" x14ac:dyDescent="0.3">
      <c r="A15" s="1">
        <v>41612</v>
      </c>
      <c r="B15" s="1" t="str">
        <f>TEXT(Table1[[#This Row],[Date]],"mmmm")</f>
        <v>December</v>
      </c>
      <c r="C15" s="1" t="str">
        <f>TEXT(Table1[[#This Row],[Date]],"yyyy")</f>
        <v>2013</v>
      </c>
      <c r="D15" t="s">
        <v>52</v>
      </c>
      <c r="E15" t="s">
        <v>53</v>
      </c>
      <c r="F15" t="s">
        <v>54</v>
      </c>
      <c r="G15" s="7">
        <v>0</v>
      </c>
      <c r="H15" t="s">
        <v>55</v>
      </c>
      <c r="I15" t="s">
        <v>9</v>
      </c>
      <c r="J15" t="str">
        <f>IF(Table1[[#This Row],[Fatalities]] &gt; 0, "Fatal","Non-Fatal")</f>
        <v>Non-Fatal</v>
      </c>
    </row>
    <row r="16" spans="1:14" x14ac:dyDescent="0.3">
      <c r="A16" s="1">
        <v>41550</v>
      </c>
      <c r="B16" s="1" t="str">
        <f>TEXT(Table1[[#This Row],[Date]],"mmmm")</f>
        <v>October</v>
      </c>
      <c r="C16" s="1" t="str">
        <f>TEXT(Table1[[#This Row],[Date]],"yyyy")</f>
        <v>2013</v>
      </c>
      <c r="D16" t="s">
        <v>56</v>
      </c>
      <c r="E16" t="s">
        <v>57</v>
      </c>
      <c r="F16" t="s">
        <v>58</v>
      </c>
      <c r="G16" s="7">
        <v>16</v>
      </c>
      <c r="H16" t="s">
        <v>17</v>
      </c>
      <c r="I16" t="s">
        <v>22</v>
      </c>
      <c r="J16" t="str">
        <f>IF(Table1[[#This Row],[Fatalities]] &gt; 0, "Fatal","Non-Fatal")</f>
        <v>Fatal</v>
      </c>
    </row>
    <row r="17" spans="1:10" x14ac:dyDescent="0.3">
      <c r="A17" s="1">
        <v>41207</v>
      </c>
      <c r="B17" s="1" t="str">
        <f>TEXT(Table1[[#This Row],[Date]],"mmmm")</f>
        <v>October</v>
      </c>
      <c r="C17" s="1" t="str">
        <f>TEXT(Table1[[#This Row],[Date]],"yyyy")</f>
        <v>2012</v>
      </c>
      <c r="D17" t="s">
        <v>59</v>
      </c>
      <c r="E17" t="s">
        <v>60</v>
      </c>
      <c r="F17" t="s">
        <v>61</v>
      </c>
      <c r="G17" s="7">
        <v>0</v>
      </c>
      <c r="H17" t="s">
        <v>62</v>
      </c>
      <c r="I17" t="s">
        <v>22</v>
      </c>
      <c r="J17" t="str">
        <f>IF(Table1[[#This Row],[Fatalities]] &gt; 0, "Fatal","Non-Fatal")</f>
        <v>Non-Fatal</v>
      </c>
    </row>
    <row r="18" spans="1:10" x14ac:dyDescent="0.3">
      <c r="A18" s="1">
        <v>41063</v>
      </c>
      <c r="B18" s="1" t="str">
        <f>TEXT(Table1[[#This Row],[Date]],"mmmm")</f>
        <v>June</v>
      </c>
      <c r="C18" s="1" t="str">
        <f>TEXT(Table1[[#This Row],[Date]],"yyyy")</f>
        <v>2012</v>
      </c>
      <c r="D18" t="s">
        <v>63</v>
      </c>
      <c r="E18" t="s">
        <v>64</v>
      </c>
      <c r="F18" t="s">
        <v>34</v>
      </c>
      <c r="G18" s="7">
        <v>159</v>
      </c>
      <c r="H18" t="s">
        <v>65</v>
      </c>
      <c r="I18" t="s">
        <v>22</v>
      </c>
      <c r="J18" t="str">
        <f>IF(Table1[[#This Row],[Fatalities]] &gt; 0, "Fatal","Non-Fatal")</f>
        <v>Fatal</v>
      </c>
    </row>
    <row r="19" spans="1:10" x14ac:dyDescent="0.3">
      <c r="A19" s="1">
        <v>40738</v>
      </c>
      <c r="B19" s="1" t="str">
        <f>TEXT(Table1[[#This Row],[Date]],"mmmm")</f>
        <v>July</v>
      </c>
      <c r="C19" s="1" t="str">
        <f>TEXT(Table1[[#This Row],[Date]],"yyyy")</f>
        <v>2011</v>
      </c>
      <c r="D19" t="s">
        <v>66</v>
      </c>
      <c r="E19" t="s">
        <v>67</v>
      </c>
      <c r="F19" t="s">
        <v>68</v>
      </c>
      <c r="G19" s="7">
        <v>0</v>
      </c>
      <c r="H19" t="s">
        <v>35</v>
      </c>
      <c r="I19" t="s">
        <v>22</v>
      </c>
      <c r="J19" t="str">
        <f>IF(Table1[[#This Row],[Fatalities]] &gt; 0, "Fatal","Non-Fatal")</f>
        <v>Non-Fatal</v>
      </c>
    </row>
    <row r="20" spans="1:10" x14ac:dyDescent="0.3">
      <c r="A20" s="1">
        <v>40734</v>
      </c>
      <c r="B20" s="1" t="str">
        <f>TEXT(Table1[[#This Row],[Date]],"mmmm")</f>
        <v>July</v>
      </c>
      <c r="C20" s="1" t="str">
        <f>TEXT(Table1[[#This Row],[Date]],"yyyy")</f>
        <v>2011</v>
      </c>
      <c r="D20" t="s">
        <v>69</v>
      </c>
      <c r="E20" t="s">
        <v>70</v>
      </c>
      <c r="F20" t="s">
        <v>58</v>
      </c>
      <c r="G20" s="7">
        <v>0</v>
      </c>
      <c r="H20" t="s">
        <v>71</v>
      </c>
      <c r="I20" t="s">
        <v>72</v>
      </c>
      <c r="J20" t="str">
        <f>IF(Table1[[#This Row],[Fatalities]] &gt; 0, "Fatal","Non-Fatal")</f>
        <v>Non-Fatal</v>
      </c>
    </row>
    <row r="21" spans="1:10" x14ac:dyDescent="0.3">
      <c r="A21" s="1">
        <v>40249</v>
      </c>
      <c r="B21" s="1" t="str">
        <f>TEXT(Table1[[#This Row],[Date]],"mmmm")</f>
        <v>March</v>
      </c>
      <c r="C21" s="1" t="str">
        <f>TEXT(Table1[[#This Row],[Date]],"yyyy")</f>
        <v>2010</v>
      </c>
      <c r="D21" t="s">
        <v>73</v>
      </c>
      <c r="E21" t="s">
        <v>74</v>
      </c>
      <c r="F21" t="s">
        <v>20</v>
      </c>
      <c r="G21" s="7">
        <v>0</v>
      </c>
      <c r="H21" t="s">
        <v>35</v>
      </c>
      <c r="I21" t="s">
        <v>22</v>
      </c>
      <c r="J21" t="str">
        <f>IF(Table1[[#This Row],[Fatalities]] &gt; 0, "Fatal","Non-Fatal")</f>
        <v>Non-Fatal</v>
      </c>
    </row>
    <row r="22" spans="1:10" x14ac:dyDescent="0.3">
      <c r="A22" s="1">
        <v>40027</v>
      </c>
      <c r="B22" s="1" t="str">
        <f>TEXT(Table1[[#This Row],[Date]],"mmmm")</f>
        <v>August</v>
      </c>
      <c r="C22" s="1" t="str">
        <f>TEXT(Table1[[#This Row],[Date]],"yyyy")</f>
        <v>2009</v>
      </c>
      <c r="D22" t="s">
        <v>56</v>
      </c>
      <c r="E22" t="s">
        <v>75</v>
      </c>
      <c r="F22" t="s">
        <v>76</v>
      </c>
      <c r="G22" s="7">
        <v>0</v>
      </c>
      <c r="H22" t="s">
        <v>77</v>
      </c>
      <c r="I22" t="s">
        <v>22</v>
      </c>
      <c r="J22" t="str">
        <f>IF(Table1[[#This Row],[Fatalities]] &gt; 0, "Fatal","Non-Fatal")</f>
        <v>Non-Fatal</v>
      </c>
    </row>
    <row r="23" spans="1:10" x14ac:dyDescent="0.3">
      <c r="A23" s="1">
        <v>39643</v>
      </c>
      <c r="B23" s="1" t="str">
        <f>TEXT(Table1[[#This Row],[Date]],"mmmm")</f>
        <v>July</v>
      </c>
      <c r="C23" s="1" t="str">
        <f>TEXT(Table1[[#This Row],[Date]],"yyyy")</f>
        <v>2008</v>
      </c>
      <c r="D23" t="s">
        <v>78</v>
      </c>
      <c r="E23" t="s">
        <v>79</v>
      </c>
      <c r="F23" t="s">
        <v>80</v>
      </c>
      <c r="G23" s="7">
        <v>0</v>
      </c>
      <c r="H23" t="s">
        <v>35</v>
      </c>
      <c r="I23" t="s">
        <v>9</v>
      </c>
      <c r="J23" t="str">
        <f>IF(Table1[[#This Row],[Fatalities]] &gt; 0, "Fatal","Non-Fatal")</f>
        <v>Non-Fatal</v>
      </c>
    </row>
    <row r="24" spans="1:10" x14ac:dyDescent="0.3">
      <c r="A24" s="1">
        <v>39522</v>
      </c>
      <c r="B24" s="1" t="str">
        <f>TEXT(Table1[[#This Row],[Date]],"mmmm")</f>
        <v>March</v>
      </c>
      <c r="C24" s="1" t="str">
        <f>TEXT(Table1[[#This Row],[Date]],"yyyy")</f>
        <v>2008</v>
      </c>
      <c r="D24" t="s">
        <v>81</v>
      </c>
      <c r="E24" t="s">
        <v>82</v>
      </c>
      <c r="F24" t="s">
        <v>83</v>
      </c>
      <c r="G24" s="7">
        <v>3</v>
      </c>
      <c r="H24" t="s">
        <v>84</v>
      </c>
      <c r="I24" t="s">
        <v>22</v>
      </c>
      <c r="J24" t="str">
        <f>IF(Table1[[#This Row],[Fatalities]] &gt; 0, "Fatal","Non-Fatal")</f>
        <v>Fatal</v>
      </c>
    </row>
    <row r="25" spans="1:10" x14ac:dyDescent="0.3">
      <c r="A25" s="1">
        <v>39019</v>
      </c>
      <c r="B25" s="1" t="str">
        <f>TEXT(Table1[[#This Row],[Date]],"mmmm")</f>
        <v>October</v>
      </c>
      <c r="C25" s="1" t="str">
        <f>TEXT(Table1[[#This Row],[Date]],"yyyy")</f>
        <v>2006</v>
      </c>
      <c r="D25" t="s">
        <v>85</v>
      </c>
      <c r="E25" t="s">
        <v>86</v>
      </c>
      <c r="F25" t="s">
        <v>87</v>
      </c>
      <c r="G25" s="7">
        <v>96</v>
      </c>
      <c r="H25" t="s">
        <v>55</v>
      </c>
      <c r="I25" t="s">
        <v>22</v>
      </c>
      <c r="J25" t="str">
        <f>IF(Table1[[#This Row],[Fatalities]] &gt; 0, "Fatal","Non-Fatal")</f>
        <v>Fatal</v>
      </c>
    </row>
    <row r="26" spans="1:10" x14ac:dyDescent="0.3">
      <c r="A26" s="1">
        <v>38977</v>
      </c>
      <c r="B26" s="1" t="str">
        <f>TEXT(Table1[[#This Row],[Date]],"mmmm")</f>
        <v>September</v>
      </c>
      <c r="C26" s="1" t="str">
        <f>TEXT(Table1[[#This Row],[Date]],"yyyy")</f>
        <v>2006</v>
      </c>
      <c r="D26" t="s">
        <v>44</v>
      </c>
      <c r="E26" t="s">
        <v>88</v>
      </c>
      <c r="F26" t="s">
        <v>20</v>
      </c>
      <c r="G26" s="7">
        <v>13</v>
      </c>
      <c r="H26" t="s">
        <v>89</v>
      </c>
      <c r="I26" t="s">
        <v>22</v>
      </c>
      <c r="J26" t="str">
        <f>IF(Table1[[#This Row],[Fatalities]] &gt; 0, "Fatal","Non-Fatal")</f>
        <v>Fatal</v>
      </c>
    </row>
    <row r="27" spans="1:10" x14ac:dyDescent="0.3">
      <c r="A27" s="1">
        <v>38967</v>
      </c>
      <c r="B27" s="1" t="str">
        <f>TEXT(Table1[[#This Row],[Date]],"mmmm")</f>
        <v>September</v>
      </c>
      <c r="C27" s="1" t="str">
        <f>TEXT(Table1[[#This Row],[Date]],"yyyy")</f>
        <v>2006</v>
      </c>
      <c r="D27" t="s">
        <v>90</v>
      </c>
      <c r="E27" t="s">
        <v>91</v>
      </c>
      <c r="F27" t="s">
        <v>92</v>
      </c>
      <c r="G27" s="7">
        <v>0</v>
      </c>
      <c r="H27" t="s">
        <v>93</v>
      </c>
      <c r="I27" t="s">
        <v>22</v>
      </c>
      <c r="J27" t="str">
        <f>IF(Table1[[#This Row],[Fatalities]] &gt; 0, "Fatal","Non-Fatal")</f>
        <v>Non-Fatal</v>
      </c>
    </row>
    <row r="28" spans="1:10" x14ac:dyDescent="0.3">
      <c r="A28" s="1">
        <v>38696</v>
      </c>
      <c r="B28" s="1" t="str">
        <f>TEXT(Table1[[#This Row],[Date]],"mmmm")</f>
        <v>December</v>
      </c>
      <c r="C28" s="1" t="str">
        <f>TEXT(Table1[[#This Row],[Date]],"yyyy")</f>
        <v>2005</v>
      </c>
      <c r="D28" t="s">
        <v>94</v>
      </c>
      <c r="E28" t="s">
        <v>95</v>
      </c>
      <c r="F28" t="s">
        <v>96</v>
      </c>
      <c r="G28" s="7">
        <v>108</v>
      </c>
      <c r="H28" t="s">
        <v>35</v>
      </c>
      <c r="I28" t="s">
        <v>22</v>
      </c>
      <c r="J28" t="str">
        <f>IF(Table1[[#This Row],[Fatalities]] &gt; 0, "Fatal","Non-Fatal")</f>
        <v>Fatal</v>
      </c>
    </row>
    <row r="29" spans="1:10" x14ac:dyDescent="0.3">
      <c r="A29" s="1">
        <v>38684</v>
      </c>
      <c r="B29" s="1" t="str">
        <f>TEXT(Table1[[#This Row],[Date]],"mmmm")</f>
        <v>November</v>
      </c>
      <c r="C29" s="1" t="str">
        <f>TEXT(Table1[[#This Row],[Date]],"yyyy")</f>
        <v>2005</v>
      </c>
      <c r="D29" t="s">
        <v>97</v>
      </c>
      <c r="E29" t="s">
        <v>98</v>
      </c>
      <c r="F29" t="s">
        <v>99</v>
      </c>
      <c r="G29" s="7">
        <v>2</v>
      </c>
      <c r="H29" t="s">
        <v>100</v>
      </c>
      <c r="I29" t="s">
        <v>22</v>
      </c>
      <c r="J29" t="str">
        <f>IF(Table1[[#This Row],[Fatalities]] &gt; 0, "Fatal","Non-Fatal")</f>
        <v>Fatal</v>
      </c>
    </row>
    <row r="30" spans="1:10" x14ac:dyDescent="0.3">
      <c r="A30" s="1">
        <v>38647</v>
      </c>
      <c r="B30" s="1" t="str">
        <f>TEXT(Table1[[#This Row],[Date]],"mmmm")</f>
        <v>October</v>
      </c>
      <c r="C30" s="1" t="str">
        <f>TEXT(Table1[[#This Row],[Date]],"yyyy")</f>
        <v>2005</v>
      </c>
      <c r="D30" t="s">
        <v>101</v>
      </c>
      <c r="E30" t="s">
        <v>102</v>
      </c>
      <c r="F30" t="s">
        <v>103</v>
      </c>
      <c r="G30" s="7">
        <v>117</v>
      </c>
      <c r="H30" t="s">
        <v>104</v>
      </c>
      <c r="I30" t="s">
        <v>22</v>
      </c>
      <c r="J30" t="str">
        <f>IF(Table1[[#This Row],[Fatalities]] &gt; 0, "Fatal","Non-Fatal")</f>
        <v>Fatal</v>
      </c>
    </row>
    <row r="31" spans="1:10" x14ac:dyDescent="0.3">
      <c r="A31" s="1">
        <v>38532</v>
      </c>
      <c r="B31" s="1" t="str">
        <f>TEXT(Table1[[#This Row],[Date]],"mmmm")</f>
        <v>June</v>
      </c>
      <c r="C31" s="1" t="str">
        <f>TEXT(Table1[[#This Row],[Date]],"yyyy")</f>
        <v>2005</v>
      </c>
      <c r="D31" t="s">
        <v>105</v>
      </c>
      <c r="E31" t="s">
        <v>106</v>
      </c>
      <c r="F31" t="s">
        <v>107</v>
      </c>
      <c r="G31" s="7">
        <v>0</v>
      </c>
      <c r="H31" t="s">
        <v>93</v>
      </c>
      <c r="I31" t="s">
        <v>72</v>
      </c>
      <c r="J31" t="str">
        <f>IF(Table1[[#This Row],[Fatalities]] &gt; 0, "Fatal","Non-Fatal")</f>
        <v>Non-Fatal</v>
      </c>
    </row>
    <row r="32" spans="1:10" x14ac:dyDescent="0.3">
      <c r="A32" s="1">
        <v>38515</v>
      </c>
      <c r="B32" s="1" t="str">
        <f>TEXT(Table1[[#This Row],[Date]],"mmmm")</f>
        <v>June</v>
      </c>
      <c r="C32" s="1" t="str">
        <f>TEXT(Table1[[#This Row],[Date]],"yyyy")</f>
        <v>2005</v>
      </c>
      <c r="D32" t="s">
        <v>108</v>
      </c>
      <c r="E32" t="s">
        <v>109</v>
      </c>
      <c r="F32" t="s">
        <v>80</v>
      </c>
      <c r="G32" s="7">
        <v>0</v>
      </c>
      <c r="H32" t="s">
        <v>93</v>
      </c>
      <c r="I32" t="s">
        <v>9</v>
      </c>
      <c r="J32" t="str">
        <f>IF(Table1[[#This Row],[Fatalities]] &gt; 0, "Fatal","Non-Fatal")</f>
        <v>Non-Fatal</v>
      </c>
    </row>
    <row r="33" spans="1:10" x14ac:dyDescent="0.3">
      <c r="A33" s="1">
        <v>38236</v>
      </c>
      <c r="B33" s="1" t="str">
        <f>TEXT(Table1[[#This Row],[Date]],"mmmm")</f>
        <v>September</v>
      </c>
      <c r="C33" s="1" t="str">
        <f>TEXT(Table1[[#This Row],[Date]],"yyyy")</f>
        <v>2004</v>
      </c>
      <c r="D33" t="s">
        <v>81</v>
      </c>
      <c r="E33" t="s">
        <v>110</v>
      </c>
      <c r="F33" t="s">
        <v>83</v>
      </c>
      <c r="G33" s="7">
        <v>0</v>
      </c>
      <c r="H33" t="s">
        <v>111</v>
      </c>
      <c r="I33" t="s">
        <v>9</v>
      </c>
      <c r="J33" t="str">
        <f>IF(Table1[[#This Row],[Fatalities]] &gt; 0, "Fatal","Non-Fatal")</f>
        <v>Non-Fatal</v>
      </c>
    </row>
    <row r="34" spans="1:10" x14ac:dyDescent="0.3">
      <c r="A34" s="1">
        <v>37956</v>
      </c>
      <c r="B34" s="1" t="str">
        <f>TEXT(Table1[[#This Row],[Date]],"mmmm")</f>
        <v>December</v>
      </c>
      <c r="C34" s="1" t="str">
        <f>TEXT(Table1[[#This Row],[Date]],"yyyy")</f>
        <v>2003</v>
      </c>
      <c r="D34" t="s">
        <v>112</v>
      </c>
      <c r="E34" t="s">
        <v>113</v>
      </c>
      <c r="F34" t="s">
        <v>114</v>
      </c>
      <c r="G34" s="7">
        <v>0</v>
      </c>
      <c r="H34" t="s">
        <v>115</v>
      </c>
      <c r="I34" t="s">
        <v>22</v>
      </c>
      <c r="J34" t="str">
        <f>IF(Table1[[#This Row],[Fatalities]] &gt; 0, "Fatal","Non-Fatal")</f>
        <v>Non-Fatal</v>
      </c>
    </row>
    <row r="35" spans="1:10" x14ac:dyDescent="0.3">
      <c r="A35" s="1">
        <v>37954</v>
      </c>
      <c r="B35" s="1" t="str">
        <f>TEXT(Table1[[#This Row],[Date]],"mmmm")</f>
        <v>November</v>
      </c>
      <c r="C35" s="1" t="str">
        <f>TEXT(Table1[[#This Row],[Date]],"yyyy")</f>
        <v>2003</v>
      </c>
      <c r="D35" t="s">
        <v>116</v>
      </c>
      <c r="E35" t="s">
        <v>117</v>
      </c>
      <c r="F35" t="s">
        <v>118</v>
      </c>
      <c r="G35" s="7">
        <v>0</v>
      </c>
      <c r="H35" t="s">
        <v>93</v>
      </c>
      <c r="I35" t="s">
        <v>22</v>
      </c>
      <c r="J35" t="str">
        <f>IF(Table1[[#This Row],[Fatalities]] &gt; 0, "Fatal","Non-Fatal")</f>
        <v>Non-Fatal</v>
      </c>
    </row>
    <row r="36" spans="1:10" x14ac:dyDescent="0.3">
      <c r="A36" s="1">
        <v>37397</v>
      </c>
      <c r="B36" s="1" t="str">
        <f>TEXT(Table1[[#This Row],[Date]],"mmmm")</f>
        <v>May</v>
      </c>
      <c r="C36" s="1" t="str">
        <f>TEXT(Table1[[#This Row],[Date]],"yyyy")</f>
        <v>2002</v>
      </c>
      <c r="D36" t="s">
        <v>119</v>
      </c>
      <c r="E36" t="s">
        <v>120</v>
      </c>
      <c r="F36" t="s">
        <v>121</v>
      </c>
      <c r="G36" s="7">
        <v>5</v>
      </c>
      <c r="H36" t="s">
        <v>122</v>
      </c>
      <c r="I36" t="s">
        <v>22</v>
      </c>
      <c r="J36" t="str">
        <f>IF(Table1[[#This Row],[Fatalities]] &gt; 0, "Fatal","Non-Fatal")</f>
        <v>Fatal</v>
      </c>
    </row>
    <row r="37" spans="1:10" x14ac:dyDescent="0.3">
      <c r="A37" s="1">
        <v>37380</v>
      </c>
      <c r="B37" s="1" t="str">
        <f>TEXT(Table1[[#This Row],[Date]],"mmmm")</f>
        <v>May</v>
      </c>
      <c r="C37" s="1" t="str">
        <f>TEXT(Table1[[#This Row],[Date]],"yyyy")</f>
        <v>2002</v>
      </c>
      <c r="D37" t="s">
        <v>123</v>
      </c>
      <c r="E37" t="s">
        <v>124</v>
      </c>
      <c r="F37" t="s">
        <v>125</v>
      </c>
      <c r="G37" s="7">
        <v>103</v>
      </c>
      <c r="H37" t="s">
        <v>126</v>
      </c>
      <c r="I37" t="s">
        <v>22</v>
      </c>
      <c r="J37" t="str">
        <f>IF(Table1[[#This Row],[Fatalities]] &gt; 0, "Fatal","Non-Fatal")</f>
        <v>Fatal</v>
      </c>
    </row>
    <row r="38" spans="1:10" x14ac:dyDescent="0.3">
      <c r="A38" s="1">
        <v>37342</v>
      </c>
      <c r="B38" s="1" t="str">
        <f>TEXT(Table1[[#This Row],[Date]],"mmmm")</f>
        <v>March</v>
      </c>
      <c r="C38" s="1" t="str">
        <f>TEXT(Table1[[#This Row],[Date]],"yyyy")</f>
        <v>2002</v>
      </c>
      <c r="D38" t="s">
        <v>127</v>
      </c>
      <c r="E38" t="s">
        <v>128</v>
      </c>
      <c r="F38" t="s">
        <v>129</v>
      </c>
      <c r="G38" s="7">
        <v>0</v>
      </c>
      <c r="H38" t="s">
        <v>55</v>
      </c>
      <c r="I38" t="s">
        <v>22</v>
      </c>
      <c r="J38" t="str">
        <f>IF(Table1[[#This Row],[Fatalities]] &gt; 0, "Fatal","Non-Fatal")</f>
        <v>Non-Fatal</v>
      </c>
    </row>
    <row r="39" spans="1:10" x14ac:dyDescent="0.3">
      <c r="A39" s="1">
        <v>37342</v>
      </c>
      <c r="B39" s="1" t="str">
        <f>TEXT(Table1[[#This Row],[Date]],"mmmm")</f>
        <v>March</v>
      </c>
      <c r="C39" s="1" t="str">
        <f>TEXT(Table1[[#This Row],[Date]],"yyyy")</f>
        <v>2002</v>
      </c>
      <c r="D39" t="s">
        <v>130</v>
      </c>
      <c r="E39" t="s">
        <v>131</v>
      </c>
      <c r="F39" t="s">
        <v>132</v>
      </c>
      <c r="G39" s="7">
        <v>0</v>
      </c>
      <c r="H39" t="s">
        <v>55</v>
      </c>
      <c r="I39" t="s">
        <v>22</v>
      </c>
      <c r="J39" t="str">
        <f>IF(Table1[[#This Row],[Fatalities]] &gt; 0, "Fatal","Non-Fatal")</f>
        <v>Non-Fatal</v>
      </c>
    </row>
    <row r="40" spans="1:10" x14ac:dyDescent="0.3">
      <c r="A40" s="1">
        <v>37222</v>
      </c>
      <c r="B40" s="1" t="str">
        <f>TEXT(Table1[[#This Row],[Date]],"mmmm")</f>
        <v>November</v>
      </c>
      <c r="C40" s="1" t="str">
        <f>TEXT(Table1[[#This Row],[Date]],"yyyy")</f>
        <v>2001</v>
      </c>
      <c r="D40" t="s">
        <v>133</v>
      </c>
      <c r="E40" t="s">
        <v>134</v>
      </c>
      <c r="F40" t="s">
        <v>135</v>
      </c>
      <c r="G40" s="7">
        <v>1</v>
      </c>
      <c r="H40" t="s">
        <v>136</v>
      </c>
      <c r="I40" t="s">
        <v>22</v>
      </c>
      <c r="J40" t="str">
        <f>IF(Table1[[#This Row],[Fatalities]] &gt; 0, "Fatal","Non-Fatal")</f>
        <v>Fatal</v>
      </c>
    </row>
    <row r="41" spans="1:10" x14ac:dyDescent="0.3">
      <c r="A41" s="1">
        <v>37026</v>
      </c>
      <c r="B41" s="1" t="str">
        <f>TEXT(Table1[[#This Row],[Date]],"mmmm")</f>
        <v>May</v>
      </c>
      <c r="C41" s="1" t="str">
        <f>TEXT(Table1[[#This Row],[Date]],"yyyy")</f>
        <v>2001</v>
      </c>
      <c r="D41" t="s">
        <v>137</v>
      </c>
      <c r="E41" t="s">
        <v>138</v>
      </c>
      <c r="F41" t="s">
        <v>139</v>
      </c>
      <c r="G41" s="7">
        <v>0</v>
      </c>
      <c r="H41" t="s">
        <v>140</v>
      </c>
      <c r="I41" t="s">
        <v>22</v>
      </c>
      <c r="J41" t="str">
        <f>IF(Table1[[#This Row],[Fatalities]] &gt; 0, "Fatal","Non-Fatal")</f>
        <v>Non-Fatal</v>
      </c>
    </row>
    <row r="42" spans="1:10" x14ac:dyDescent="0.3">
      <c r="A42" s="1">
        <v>36936</v>
      </c>
      <c r="B42" s="1" t="str">
        <f>TEXT(Table1[[#This Row],[Date]],"mmmm")</f>
        <v>February</v>
      </c>
      <c r="C42" s="1" t="str">
        <f>TEXT(Table1[[#This Row],[Date]],"yyyy")</f>
        <v>2001</v>
      </c>
      <c r="D42" t="s">
        <v>141</v>
      </c>
      <c r="E42" t="s">
        <v>142</v>
      </c>
      <c r="F42" t="s">
        <v>143</v>
      </c>
      <c r="G42" s="7">
        <v>0</v>
      </c>
      <c r="H42" t="s">
        <v>144</v>
      </c>
      <c r="I42" t="s">
        <v>9</v>
      </c>
      <c r="J42" t="str">
        <f>IF(Table1[[#This Row],[Fatalities]] &gt; 0, "Fatal","Non-Fatal")</f>
        <v>Non-Fatal</v>
      </c>
    </row>
    <row r="43" spans="1:10" x14ac:dyDescent="0.3">
      <c r="A43" s="1">
        <v>36914</v>
      </c>
      <c r="B43" s="1" t="str">
        <f>TEXT(Table1[[#This Row],[Date]],"mmmm")</f>
        <v>January</v>
      </c>
      <c r="C43" s="1" t="str">
        <f>TEXT(Table1[[#This Row],[Date]],"yyyy")</f>
        <v>2001</v>
      </c>
      <c r="D43" t="s">
        <v>119</v>
      </c>
      <c r="E43" t="s">
        <v>145</v>
      </c>
      <c r="F43" t="s">
        <v>146</v>
      </c>
      <c r="G43" s="7">
        <v>0</v>
      </c>
      <c r="H43" t="s">
        <v>147</v>
      </c>
      <c r="I43" t="s">
        <v>22</v>
      </c>
      <c r="J43" t="str">
        <f>IF(Table1[[#This Row],[Fatalities]] &gt; 0, "Fatal","Non-Fatal")</f>
        <v>Non-Fatal</v>
      </c>
    </row>
    <row r="44" spans="1:10" x14ac:dyDescent="0.3">
      <c r="A44" s="1">
        <v>36825</v>
      </c>
      <c r="B44" s="1" t="str">
        <f>TEXT(Table1[[#This Row],[Date]],"mmmm")</f>
        <v>October</v>
      </c>
      <c r="C44" s="1" t="str">
        <f>TEXT(Table1[[#This Row],[Date]],"yyyy")</f>
        <v>2000</v>
      </c>
      <c r="D44" t="s">
        <v>148</v>
      </c>
      <c r="E44" t="s">
        <v>149</v>
      </c>
      <c r="F44" t="s">
        <v>20</v>
      </c>
      <c r="G44" s="7">
        <v>0</v>
      </c>
      <c r="H44" t="s">
        <v>150</v>
      </c>
      <c r="I44" t="s">
        <v>22</v>
      </c>
      <c r="J44" t="str">
        <f>IF(Table1[[#This Row],[Fatalities]] &gt; 0, "Fatal","Non-Fatal")</f>
        <v>Non-Fatal</v>
      </c>
    </row>
    <row r="45" spans="1:10" x14ac:dyDescent="0.3">
      <c r="A45" s="1">
        <v>36597</v>
      </c>
      <c r="B45" s="1" t="str">
        <f>TEXT(Table1[[#This Row],[Date]],"mmmm")</f>
        <v>March</v>
      </c>
      <c r="C45" s="1" t="str">
        <f>TEXT(Table1[[#This Row],[Date]],"yyyy")</f>
        <v>2000</v>
      </c>
      <c r="D45" t="s">
        <v>151</v>
      </c>
      <c r="E45" t="s">
        <v>152</v>
      </c>
      <c r="F45" t="s">
        <v>20</v>
      </c>
      <c r="G45" s="7">
        <v>0</v>
      </c>
      <c r="H45" t="s">
        <v>17</v>
      </c>
      <c r="I45" t="s">
        <v>22</v>
      </c>
      <c r="J45" t="str">
        <f>IF(Table1[[#This Row],[Fatalities]] &gt; 0, "Fatal","Non-Fatal")</f>
        <v>Non-Fatal</v>
      </c>
    </row>
    <row r="46" spans="1:10" x14ac:dyDescent="0.3">
      <c r="A46" s="1">
        <v>36602</v>
      </c>
      <c r="B46" s="1" t="str">
        <f>TEXT(Table1[[#This Row],[Date]],"mmmm")</f>
        <v>March</v>
      </c>
      <c r="C46" s="1" t="str">
        <f>TEXT(Table1[[#This Row],[Date]],"yyyy")</f>
        <v>2000</v>
      </c>
      <c r="D46" t="s">
        <v>153</v>
      </c>
      <c r="E46" t="s">
        <v>154</v>
      </c>
      <c r="F46" t="s">
        <v>155</v>
      </c>
      <c r="G46" s="7">
        <v>0</v>
      </c>
      <c r="H46" t="s">
        <v>156</v>
      </c>
      <c r="I46" t="s">
        <v>22</v>
      </c>
      <c r="J46" t="str">
        <f>IF(Table1[[#This Row],[Fatalities]] &gt; 0, "Fatal","Non-Fatal")</f>
        <v>Non-Fatal</v>
      </c>
    </row>
    <row r="47" spans="1:10" x14ac:dyDescent="0.3">
      <c r="A47" s="1">
        <v>36530</v>
      </c>
      <c r="B47" s="1" t="str">
        <f>TEXT(Table1[[#This Row],[Date]],"mmmm")</f>
        <v>January</v>
      </c>
      <c r="C47" s="1" t="str">
        <f>TEXT(Table1[[#This Row],[Date]],"yyyy")</f>
        <v>2000</v>
      </c>
      <c r="D47" t="s">
        <v>153</v>
      </c>
      <c r="E47" t="s">
        <v>157</v>
      </c>
      <c r="F47" t="s">
        <v>155</v>
      </c>
      <c r="G47" s="7">
        <v>2</v>
      </c>
      <c r="H47" t="s">
        <v>55</v>
      </c>
      <c r="I47" t="s">
        <v>22</v>
      </c>
      <c r="J47" t="str">
        <f>IF(Table1[[#This Row],[Fatalities]] &gt; 0, "Fatal","Non-Fatal")</f>
        <v>Fatal</v>
      </c>
    </row>
    <row r="48" spans="1:10" x14ac:dyDescent="0.3">
      <c r="A48" s="1">
        <v>35685</v>
      </c>
      <c r="B48" s="1" t="str">
        <f>TEXT(Table1[[#This Row],[Date]],"mmmm")</f>
        <v>September</v>
      </c>
      <c r="C48" s="1" t="str">
        <f>TEXT(Table1[[#This Row],[Date]],"yyyy")</f>
        <v>1997</v>
      </c>
      <c r="D48" t="s">
        <v>44</v>
      </c>
      <c r="E48" t="s">
        <v>228</v>
      </c>
      <c r="F48" t="s">
        <v>20</v>
      </c>
      <c r="G48" s="8">
        <v>0</v>
      </c>
      <c r="H48" t="s">
        <v>229</v>
      </c>
      <c r="I48" t="s">
        <v>22</v>
      </c>
      <c r="J48" s="6" t="str">
        <f>IF(Table1[[#This Row],[Fatalities]] &gt; 0, "Fatal","Non-Fatal")</f>
        <v>Non-Fatal</v>
      </c>
    </row>
    <row r="49" spans="1:10" x14ac:dyDescent="0.3">
      <c r="A49" s="1">
        <v>35485</v>
      </c>
      <c r="B49" s="1" t="str">
        <f>TEXT(Table1[[#This Row],[Date]],"mmmm")</f>
        <v>February</v>
      </c>
      <c r="C49" s="1" t="str">
        <f>TEXT(Table1[[#This Row],[Date]],"yyyy")</f>
        <v>1997</v>
      </c>
      <c r="D49" t="s">
        <v>148</v>
      </c>
      <c r="E49" t="s">
        <v>230</v>
      </c>
      <c r="F49" t="s">
        <v>20</v>
      </c>
      <c r="G49" s="8">
        <v>3</v>
      </c>
      <c r="H49" t="s">
        <v>231</v>
      </c>
      <c r="I49" t="s">
        <v>22</v>
      </c>
      <c r="J49" s="6" t="str">
        <f>IF(Table1[[#This Row],[Fatalities]] &gt; 0, "Fatal","Non-Fatal")</f>
        <v>Fatal</v>
      </c>
    </row>
    <row r="50" spans="1:10" x14ac:dyDescent="0.3">
      <c r="A50" s="1">
        <v>34812</v>
      </c>
      <c r="B50" s="1" t="str">
        <f>TEXT(Table1[[#This Row],[Date]],"mmmm")</f>
        <v>April</v>
      </c>
      <c r="C50" s="1" t="str">
        <f>TEXT(Table1[[#This Row],[Date]],"yyyy")</f>
        <v>1995</v>
      </c>
      <c r="D50" t="s">
        <v>232</v>
      </c>
      <c r="E50" t="s">
        <v>233</v>
      </c>
      <c r="F50" t="s">
        <v>234</v>
      </c>
      <c r="G50" s="8">
        <v>0</v>
      </c>
      <c r="H50" t="s">
        <v>93</v>
      </c>
      <c r="I50" t="s">
        <v>22</v>
      </c>
      <c r="J50" s="6" t="str">
        <f>IF(Table1[[#This Row],[Fatalities]] &gt; 0, "Fatal","Non-Fatal")</f>
        <v>Non-Fatal</v>
      </c>
    </row>
    <row r="51" spans="1:10" x14ac:dyDescent="0.3">
      <c r="A51" s="1">
        <v>33873</v>
      </c>
      <c r="B51" s="1" t="str">
        <f>TEXT(Table1[[#This Row],[Date]],"mmmm")</f>
        <v>September</v>
      </c>
      <c r="C51" s="1" t="str">
        <f>TEXT(Table1[[#This Row],[Date]],"yyyy")</f>
        <v>1992</v>
      </c>
      <c r="D51" s="1" t="s">
        <v>151</v>
      </c>
      <c r="E51" t="s">
        <v>235</v>
      </c>
      <c r="F51" t="s">
        <v>20</v>
      </c>
      <c r="G51" s="8">
        <v>159</v>
      </c>
      <c r="H51" t="s">
        <v>236</v>
      </c>
      <c r="I51" t="s">
        <v>22</v>
      </c>
      <c r="J51" s="6" t="str">
        <f>IF(Table1[[#This Row],[Fatalities]] &gt; 0, "Fatal","Non-Fatal")</f>
        <v>Fatal</v>
      </c>
    </row>
    <row r="52" spans="1:10" x14ac:dyDescent="0.3">
      <c r="A52" s="1">
        <v>29367</v>
      </c>
      <c r="B52" s="1" t="str">
        <f>TEXT(Table1[[#This Row],[Date]],"mmmm")</f>
        <v>May</v>
      </c>
      <c r="C52" s="1" t="str">
        <f>TEXT(Table1[[#This Row],[Date]],"yyyy")</f>
        <v>1980</v>
      </c>
      <c r="D52" s="1" t="s">
        <v>237</v>
      </c>
      <c r="E52" t="s">
        <v>238</v>
      </c>
      <c r="F52" t="s">
        <v>234</v>
      </c>
      <c r="G52" s="8">
        <v>18</v>
      </c>
      <c r="H52" t="s">
        <v>239</v>
      </c>
      <c r="I52" t="s">
        <v>22</v>
      </c>
      <c r="J52" s="6" t="str">
        <f>IF(Table1[[#This Row],[Fatalities]] &gt; 0, "Fatal","Non-Fatal")</f>
        <v>Fatal</v>
      </c>
    </row>
    <row r="53" spans="1:10" x14ac:dyDescent="0.3">
      <c r="A53" s="1"/>
      <c r="B53" s="1"/>
      <c r="C53" s="1"/>
    </row>
    <row r="54" spans="1:10" x14ac:dyDescent="0.3">
      <c r="A54" s="1"/>
      <c r="B54" s="1"/>
      <c r="C54" s="1"/>
    </row>
    <row r="56" spans="1:10" x14ac:dyDescent="0.3">
      <c r="D56" t="str" cm="1">
        <f t="array" ref="D56:D98">_xlfn.UNIQUE(Table1[Aircraft Type])</f>
        <v>Boeing 737-4Y0 (SF)</v>
      </c>
      <c r="E56">
        <f>COUNTA(_xlfn.ANCHORARRAY(D56))</f>
        <v>43</v>
      </c>
      <c r="G56" s="2">
        <f>SUM(Table1[Fatalities])</f>
        <v>830</v>
      </c>
    </row>
    <row r="57" spans="1:10" x14ac:dyDescent="0.3">
      <c r="D57" t="str">
        <v>Raytheon Hawker 800XP</v>
      </c>
      <c r="E57">
        <f>E56</f>
        <v>43</v>
      </c>
      <c r="G57" s="2">
        <f>COUNTIF(Table1[Fatalities],0)</f>
        <v>33</v>
      </c>
    </row>
    <row r="58" spans="1:10" x14ac:dyDescent="0.3">
      <c r="D58" t="str">
        <v>Airbus A300B4-622R (F)</v>
      </c>
    </row>
    <row r="59" spans="1:10" x14ac:dyDescent="0.3">
      <c r="D59" t="str">
        <v>Beechcraft B300 King Air 350i</v>
      </c>
    </row>
    <row r="60" spans="1:10" x14ac:dyDescent="0.3">
      <c r="D60" t="str">
        <v>Beechcraft B300 King Air 350</v>
      </c>
    </row>
    <row r="61" spans="1:10" x14ac:dyDescent="0.3">
      <c r="D61" t="str">
        <v>Boeing 737-36N (WL)</v>
      </c>
    </row>
    <row r="62" spans="1:10" x14ac:dyDescent="0.3">
      <c r="D62" t="str">
        <v>ATR 72-202</v>
      </c>
    </row>
    <row r="63" spans="1:10" x14ac:dyDescent="0.3">
      <c r="D63" t="str">
        <v>McDonnell Douglas MD-83</v>
      </c>
    </row>
    <row r="64" spans="1:10" x14ac:dyDescent="0.3">
      <c r="D64" t="str">
        <v>Airbus A330-223</v>
      </c>
    </row>
    <row r="65" spans="4:4" x14ac:dyDescent="0.3">
      <c r="D65" t="str">
        <v>Gulfstream G200</v>
      </c>
    </row>
    <row r="66" spans="4:4" x14ac:dyDescent="0.3">
      <c r="D66" t="str">
        <v>Dornier 228-212</v>
      </c>
    </row>
    <row r="67" spans="4:4" x14ac:dyDescent="0.3">
      <c r="D67" t="str">
        <v>Hawker 800XP</v>
      </c>
    </row>
    <row r="68" spans="4:4" x14ac:dyDescent="0.3">
      <c r="D68" t="str">
        <v>de Havilland Canada DHC-8-402Q Dash 8</v>
      </c>
    </row>
    <row r="69" spans="4:4" x14ac:dyDescent="0.3">
      <c r="D69" t="str">
        <v>Boeing 747-281B (SF)</v>
      </c>
    </row>
    <row r="70" spans="4:4" x14ac:dyDescent="0.3">
      <c r="D70" t="str">
        <v>Embraer EMB-120RT Brasilia</v>
      </c>
    </row>
    <row r="71" spans="4:4" x14ac:dyDescent="0.3">
      <c r="D71" t="str">
        <v>Cessna 208B Grand Caravan</v>
      </c>
    </row>
    <row r="72" spans="4:4" x14ac:dyDescent="0.3">
      <c r="D72" t="str">
        <v>McDonnell Douglas DC-9-83 (MD-83)</v>
      </c>
    </row>
    <row r="73" spans="4:4" x14ac:dyDescent="0.3">
      <c r="D73" t="str">
        <v>Cessna 560XL Citation XLS</v>
      </c>
    </row>
    <row r="74" spans="4:4" x14ac:dyDescent="0.3">
      <c r="D74" t="str">
        <v>British Aerospace BAe-125-700B</v>
      </c>
    </row>
    <row r="75" spans="4:4" x14ac:dyDescent="0.3">
      <c r="D75" t="str">
        <v>Alenia G-222</v>
      </c>
    </row>
    <row r="76" spans="4:4" x14ac:dyDescent="0.3">
      <c r="D76" t="str">
        <v>Boeing 737-282</v>
      </c>
    </row>
    <row r="77" spans="4:4" x14ac:dyDescent="0.3">
      <c r="D77" t="str">
        <v>Beechcraft 1900D</v>
      </c>
    </row>
    <row r="78" spans="4:4" x14ac:dyDescent="0.3">
      <c r="D78" t="str">
        <v>Boeing 737-2B7</v>
      </c>
    </row>
    <row r="79" spans="4:4" x14ac:dyDescent="0.3">
      <c r="D79" t="str">
        <v>Boeing 727-277</v>
      </c>
    </row>
    <row r="80" spans="4:4" x14ac:dyDescent="0.3">
      <c r="D80" t="str">
        <v>McDonnell Douglas DC-9-32</v>
      </c>
    </row>
    <row r="81" spans="4:4" x14ac:dyDescent="0.3">
      <c r="D81" t="str">
        <v>Beechcraft 200 Super King Air</v>
      </c>
    </row>
    <row r="82" spans="4:4" x14ac:dyDescent="0.3">
      <c r="D82" t="str">
        <v>Boeing 737-2L9</v>
      </c>
    </row>
    <row r="83" spans="4:4" x14ac:dyDescent="0.3">
      <c r="D83" t="str">
        <v>Fokker 100</v>
      </c>
    </row>
    <row r="84" spans="4:4" x14ac:dyDescent="0.3">
      <c r="D84" t="str">
        <v>Boeing 727-2M7</v>
      </c>
    </row>
    <row r="85" spans="4:4" x14ac:dyDescent="0.3">
      <c r="D85" t="str">
        <v>Let L-410UVP-E</v>
      </c>
    </row>
    <row r="86" spans="4:4" x14ac:dyDescent="0.3">
      <c r="D86" t="str">
        <v>Boeing 747-258</v>
      </c>
    </row>
    <row r="87" spans="4:4" x14ac:dyDescent="0.3">
      <c r="D87" t="str">
        <v>Let L-410UVP</v>
      </c>
    </row>
    <row r="88" spans="4:4" x14ac:dyDescent="0.3">
      <c r="D88" t="str">
        <v>BAC One-Eleven 525FT</v>
      </c>
    </row>
    <row r="89" spans="4:4" x14ac:dyDescent="0.3">
      <c r="D89" t="str">
        <v>BAC One-Eleven 523FJ</v>
      </c>
    </row>
    <row r="90" spans="4:4" x14ac:dyDescent="0.3">
      <c r="D90" t="str">
        <v>BAC One-Eleven 401AK</v>
      </c>
    </row>
    <row r="91" spans="4:4" x14ac:dyDescent="0.3">
      <c r="D91" t="str">
        <v>Boeing 747-246F</v>
      </c>
    </row>
    <row r="92" spans="4:4" x14ac:dyDescent="0.3">
      <c r="D92" t="str">
        <v>Hawker Siddeley HS-125-600B</v>
      </c>
    </row>
    <row r="93" spans="4:4" x14ac:dyDescent="0.3">
      <c r="D93" t="str">
        <v>Short 360-300</v>
      </c>
    </row>
    <row r="94" spans="4:4" x14ac:dyDescent="0.3">
      <c r="D94" t="str">
        <v>Dornier Do 128-6 Turbo Skyservant</v>
      </c>
    </row>
    <row r="95" spans="4:4" x14ac:dyDescent="0.3">
      <c r="D95" t="str">
        <v>Lockheed C-130H Hercules</v>
      </c>
    </row>
    <row r="96" spans="4:4" x14ac:dyDescent="0.3">
      <c r="D96" t="str">
        <v>Embraer EMB-110P1A Bandeirante</v>
      </c>
    </row>
    <row r="97" spans="4:4" x14ac:dyDescent="0.3">
      <c r="D97" t="str">
        <v>Fokker F-27 Friendship 200MP</v>
      </c>
    </row>
    <row r="98" spans="4:4" x14ac:dyDescent="0.3">
      <c r="D98" t="str">
        <v>Fokker F-27 Friendship 400M</v>
      </c>
    </row>
  </sheetData>
  <sheetProtection algorithmName="SHA-512" hashValue="NmUG4hiNQsojhUeLozzoJYAwQ92CecEHfCErph9CMP4gmPYiW8gtyVCxvAqbpYd8sViLmnCykdxO4rEnFyNiog==" saltValue="5Nwdb80iEU1pbLKiw+lMkA==" spinCount="100000" sheet="1" objects="1" scenarios="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85599-99C6-403B-98EF-808E19BE0B84}">
  <dimension ref="A1:AG34"/>
  <sheetViews>
    <sheetView workbookViewId="0">
      <selection activeCell="E7" sqref="E7"/>
    </sheetView>
  </sheetViews>
  <sheetFormatPr defaultRowHeight="14.4" x14ac:dyDescent="0.3"/>
  <cols>
    <col min="1" max="1" width="13.109375" bestFit="1" customWidth="1"/>
    <col min="2" max="2" width="12.44140625" bestFit="1" customWidth="1"/>
    <col min="4" max="4" width="10.77734375" bestFit="1" customWidth="1"/>
    <col min="5" max="5" width="14.88671875" bestFit="1" customWidth="1"/>
    <col min="7" max="7" width="24.6640625" bestFit="1" customWidth="1"/>
    <col min="8" max="8" width="17.33203125" bestFit="1" customWidth="1"/>
    <col min="9" max="9" width="13.44140625" bestFit="1" customWidth="1"/>
    <col min="10" max="10" width="8.44140625" bestFit="1" customWidth="1"/>
    <col min="11" max="11" width="14.109375" bestFit="1" customWidth="1"/>
    <col min="13" max="13" width="10.88671875" bestFit="1" customWidth="1"/>
    <col min="14" max="14" width="15.109375" bestFit="1" customWidth="1"/>
    <col min="15" max="15" width="15.109375" customWidth="1"/>
    <col min="16" max="16" width="13.109375" bestFit="1" customWidth="1"/>
    <col min="17" max="17" width="15.109375" bestFit="1" customWidth="1"/>
    <col min="18" max="18" width="7.33203125" bestFit="1" customWidth="1"/>
    <col min="19" max="19" width="7.44140625" bestFit="1" customWidth="1"/>
    <col min="20" max="20" width="7.33203125" bestFit="1" customWidth="1"/>
    <col min="21" max="21" width="15.88671875" bestFit="1" customWidth="1"/>
    <col min="22" max="22" width="13.109375" bestFit="1" customWidth="1"/>
    <col min="23" max="23" width="14.109375" customWidth="1"/>
    <col min="25" max="25" width="24.44140625" bestFit="1" customWidth="1"/>
    <col min="26" max="26" width="15.88671875" bestFit="1" customWidth="1"/>
    <col min="28" max="28" width="33.5546875" bestFit="1" customWidth="1"/>
    <col min="29" max="29" width="15.88671875" bestFit="1" customWidth="1"/>
    <col min="31" max="31" width="19.44140625" bestFit="1" customWidth="1"/>
    <col min="32" max="32" width="13.44140625" bestFit="1" customWidth="1"/>
    <col min="33" max="33" width="9.6640625" bestFit="1" customWidth="1"/>
    <col min="34" max="34" width="11.33203125" bestFit="1" customWidth="1"/>
  </cols>
  <sheetData>
    <row r="1" spans="1:33" x14ac:dyDescent="0.3">
      <c r="A1" t="s">
        <v>211</v>
      </c>
    </row>
    <row r="2" spans="1:33" x14ac:dyDescent="0.3">
      <c r="A2" s="6">
        <v>46</v>
      </c>
      <c r="B2">
        <f>GETPIVOTDATA("Status",$A$1)</f>
        <v>46</v>
      </c>
    </row>
    <row r="5" spans="1:33" x14ac:dyDescent="0.3">
      <c r="A5" t="s">
        <v>212</v>
      </c>
    </row>
    <row r="6" spans="1:33" x14ac:dyDescent="0.3">
      <c r="A6" s="6">
        <v>650</v>
      </c>
      <c r="B6">
        <f>GETPIVOTDATA("Fatalities",$A$5)</f>
        <v>650</v>
      </c>
      <c r="D6" s="9" t="s">
        <v>214</v>
      </c>
      <c r="E6" s="9"/>
    </row>
    <row r="7" spans="1:33" x14ac:dyDescent="0.3">
      <c r="D7" s="3" t="s">
        <v>165</v>
      </c>
      <c r="E7" t="s">
        <v>168</v>
      </c>
    </row>
    <row r="8" spans="1:33" x14ac:dyDescent="0.3">
      <c r="A8" s="9" t="s">
        <v>213</v>
      </c>
      <c r="B8" s="9"/>
      <c r="D8" t="s">
        <v>170</v>
      </c>
      <c r="E8" s="6">
        <v>2</v>
      </c>
      <c r="G8" s="9" t="s">
        <v>215</v>
      </c>
      <c r="H8" s="9"/>
      <c r="J8" s="9" t="s">
        <v>216</v>
      </c>
      <c r="K8" s="9"/>
      <c r="M8" s="9" t="s">
        <v>217</v>
      </c>
      <c r="N8" s="9"/>
      <c r="O8" s="2"/>
      <c r="P8" s="2"/>
      <c r="Q8" s="2"/>
      <c r="R8" s="2"/>
      <c r="T8" s="9" t="s">
        <v>218</v>
      </c>
      <c r="U8" s="9"/>
      <c r="V8" s="9"/>
      <c r="W8" s="9"/>
      <c r="Y8" s="9" t="s">
        <v>219</v>
      </c>
      <c r="Z8" s="9"/>
      <c r="AB8" s="9" t="s">
        <v>220</v>
      </c>
      <c r="AC8" s="9"/>
      <c r="AE8" s="9" t="s">
        <v>221</v>
      </c>
      <c r="AF8" s="9"/>
      <c r="AG8" s="9"/>
    </row>
    <row r="9" spans="1:33" x14ac:dyDescent="0.3">
      <c r="A9" s="3" t="s">
        <v>165</v>
      </c>
      <c r="B9" t="s">
        <v>191</v>
      </c>
      <c r="D9" t="s">
        <v>171</v>
      </c>
      <c r="E9" s="6">
        <v>1</v>
      </c>
      <c r="G9" s="3" t="s">
        <v>1</v>
      </c>
      <c r="H9" t="s">
        <v>192</v>
      </c>
      <c r="J9" s="3" t="s">
        <v>4</v>
      </c>
      <c r="K9" t="s">
        <v>167</v>
      </c>
      <c r="M9" s="3" t="s">
        <v>166</v>
      </c>
      <c r="N9" t="s">
        <v>205</v>
      </c>
      <c r="P9" s="3" t="s">
        <v>169</v>
      </c>
      <c r="Q9" t="s">
        <v>205</v>
      </c>
      <c r="T9" s="3" t="s">
        <v>165</v>
      </c>
      <c r="U9" t="s">
        <v>168</v>
      </c>
      <c r="V9" t="s">
        <v>191</v>
      </c>
      <c r="W9" t="s">
        <v>206</v>
      </c>
      <c r="Y9" s="3" t="s">
        <v>1</v>
      </c>
      <c r="Z9" t="s">
        <v>168</v>
      </c>
      <c r="AB9" s="3" t="s">
        <v>164</v>
      </c>
      <c r="AC9" t="s">
        <v>168</v>
      </c>
      <c r="AE9" s="3" t="s">
        <v>208</v>
      </c>
      <c r="AF9" s="3" t="s">
        <v>207</v>
      </c>
    </row>
    <row r="10" spans="1:33" x14ac:dyDescent="0.3">
      <c r="A10" t="s">
        <v>170</v>
      </c>
      <c r="B10" s="6">
        <v>4</v>
      </c>
      <c r="D10" t="s">
        <v>172</v>
      </c>
      <c r="E10" s="6">
        <v>108</v>
      </c>
      <c r="G10" t="s">
        <v>20</v>
      </c>
      <c r="H10" s="6">
        <v>10</v>
      </c>
      <c r="J10" t="s">
        <v>72</v>
      </c>
      <c r="K10" s="6">
        <v>2</v>
      </c>
      <c r="M10" t="s">
        <v>204</v>
      </c>
      <c r="N10" s="6">
        <v>4</v>
      </c>
      <c r="P10" s="4" t="s">
        <v>222</v>
      </c>
      <c r="Q10" s="6">
        <v>14</v>
      </c>
      <c r="T10" t="s">
        <v>170</v>
      </c>
      <c r="U10" s="6">
        <v>2</v>
      </c>
      <c r="V10" s="6">
        <v>4</v>
      </c>
      <c r="W10">
        <f>GETPIVOTDATA("Sum of Fatalities",$T$9,"Year","2000")/GETPIVOTDATA("Count of Year",$T$9,"Year","2000")</f>
        <v>0.5</v>
      </c>
      <c r="Y10" t="s">
        <v>121</v>
      </c>
      <c r="Z10" s="6">
        <v>5</v>
      </c>
      <c r="AB10" t="s">
        <v>123</v>
      </c>
      <c r="AC10" s="6">
        <v>103</v>
      </c>
      <c r="AE10" s="3" t="s">
        <v>165</v>
      </c>
      <c r="AF10" t="s">
        <v>209</v>
      </c>
      <c r="AG10" t="s">
        <v>210</v>
      </c>
    </row>
    <row r="11" spans="1:33" x14ac:dyDescent="0.3">
      <c r="A11" t="s">
        <v>171</v>
      </c>
      <c r="B11" s="6">
        <v>4</v>
      </c>
      <c r="D11" t="s">
        <v>173</v>
      </c>
      <c r="E11" s="6">
        <v>0</v>
      </c>
      <c r="G11" t="s">
        <v>155</v>
      </c>
      <c r="H11" s="6">
        <v>2</v>
      </c>
      <c r="J11" t="s">
        <v>40</v>
      </c>
      <c r="K11" s="6">
        <v>1</v>
      </c>
      <c r="M11" t="s">
        <v>203</v>
      </c>
      <c r="N11" s="6">
        <v>4</v>
      </c>
      <c r="P11" s="4" t="s">
        <v>223</v>
      </c>
      <c r="Q11" s="6">
        <v>11</v>
      </c>
      <c r="T11" t="s">
        <v>171</v>
      </c>
      <c r="U11" s="6">
        <v>1</v>
      </c>
      <c r="V11" s="6">
        <v>4</v>
      </c>
      <c r="W11">
        <f>GETPIVOTDATA("Sum of Fatalities",$T$9,"Year","2001")/GETPIVOTDATA("Count of Year",$T$9,"Year","2001")</f>
        <v>0.25</v>
      </c>
      <c r="Y11" t="s">
        <v>58</v>
      </c>
      <c r="Z11" s="6">
        <v>16</v>
      </c>
      <c r="AB11" t="s">
        <v>18</v>
      </c>
      <c r="AC11" s="6">
        <v>11</v>
      </c>
      <c r="AE11" t="s">
        <v>170</v>
      </c>
      <c r="AF11" s="6">
        <v>1</v>
      </c>
      <c r="AG11" s="6">
        <v>3</v>
      </c>
    </row>
    <row r="12" spans="1:33" x14ac:dyDescent="0.3">
      <c r="A12" t="s">
        <v>172</v>
      </c>
      <c r="B12" s="6">
        <v>4</v>
      </c>
      <c r="D12" t="s">
        <v>174</v>
      </c>
      <c r="E12" s="6">
        <v>0</v>
      </c>
      <c r="G12" t="s">
        <v>234</v>
      </c>
      <c r="H12" s="6">
        <v>2</v>
      </c>
      <c r="J12" t="s">
        <v>9</v>
      </c>
      <c r="K12" s="6">
        <v>13</v>
      </c>
      <c r="M12" t="s">
        <v>202</v>
      </c>
      <c r="N12" s="6">
        <v>6</v>
      </c>
      <c r="P12" s="4" t="s">
        <v>224</v>
      </c>
      <c r="Q12" s="6">
        <v>12</v>
      </c>
      <c r="T12" t="s">
        <v>172</v>
      </c>
      <c r="U12" s="6">
        <v>108</v>
      </c>
      <c r="V12" s="6">
        <v>4</v>
      </c>
      <c r="W12">
        <f>GETPIVOTDATA("Sum of Fatalities",$T$9,"Year","2002")/GETPIVOTDATA("Count of Year",$T$9,"Year","2002")</f>
        <v>27</v>
      </c>
      <c r="Y12" t="s">
        <v>234</v>
      </c>
      <c r="Z12" s="6">
        <v>18</v>
      </c>
      <c r="AB12" t="s">
        <v>85</v>
      </c>
      <c r="AC12" s="6">
        <v>96</v>
      </c>
      <c r="AE12" t="s">
        <v>171</v>
      </c>
      <c r="AF12" s="6">
        <v>1</v>
      </c>
      <c r="AG12" s="6">
        <v>3</v>
      </c>
    </row>
    <row r="13" spans="1:33" x14ac:dyDescent="0.3">
      <c r="A13" t="s">
        <v>173</v>
      </c>
      <c r="B13" s="6">
        <v>2</v>
      </c>
      <c r="D13" t="s">
        <v>175</v>
      </c>
      <c r="E13" s="6">
        <v>227</v>
      </c>
      <c r="G13" t="s">
        <v>83</v>
      </c>
      <c r="H13" s="6">
        <v>2</v>
      </c>
      <c r="J13" t="s">
        <v>22</v>
      </c>
      <c r="K13" s="6">
        <v>30</v>
      </c>
      <c r="M13" t="s">
        <v>201</v>
      </c>
      <c r="N13" s="6">
        <v>5</v>
      </c>
      <c r="P13" s="4" t="s">
        <v>225</v>
      </c>
      <c r="Q13" s="6">
        <v>14</v>
      </c>
      <c r="T13" t="s">
        <v>173</v>
      </c>
      <c r="U13" s="6">
        <v>0</v>
      </c>
      <c r="V13" s="6">
        <v>2</v>
      </c>
      <c r="W13">
        <f>GETPIVOTDATA("Sum of Fatalities",$T$9,"Year","2003")/GETPIVOTDATA("Count of Year",$T$9,"Year","2003")</f>
        <v>0</v>
      </c>
      <c r="Y13" t="s">
        <v>87</v>
      </c>
      <c r="Z13" s="6">
        <v>96</v>
      </c>
      <c r="AB13" t="s">
        <v>101</v>
      </c>
      <c r="AC13" s="6">
        <v>117</v>
      </c>
      <c r="AE13" t="s">
        <v>172</v>
      </c>
      <c r="AF13" s="6">
        <v>2</v>
      </c>
      <c r="AG13" s="6">
        <v>2</v>
      </c>
    </row>
    <row r="14" spans="1:33" x14ac:dyDescent="0.3">
      <c r="A14" t="s">
        <v>174</v>
      </c>
      <c r="B14" s="6">
        <v>1</v>
      </c>
      <c r="D14" t="s">
        <v>176</v>
      </c>
      <c r="E14" s="6">
        <v>109</v>
      </c>
      <c r="G14" t="s">
        <v>34</v>
      </c>
      <c r="H14" s="6">
        <v>2</v>
      </c>
      <c r="M14" t="s">
        <v>200</v>
      </c>
      <c r="N14" s="6">
        <v>3</v>
      </c>
      <c r="T14" t="s">
        <v>174</v>
      </c>
      <c r="U14" s="6">
        <v>0</v>
      </c>
      <c r="V14" s="6">
        <v>1</v>
      </c>
      <c r="W14">
        <f>GETPIVOTDATA("Sum of Fatalities",$T$9,"Year","2004")/GETPIVOTDATA("Count of Year",$T$9,"Year","2004")</f>
        <v>0</v>
      </c>
      <c r="Y14" t="s">
        <v>125</v>
      </c>
      <c r="Z14" s="6">
        <v>103</v>
      </c>
      <c r="AB14" t="s">
        <v>44</v>
      </c>
      <c r="AC14" s="6">
        <v>20</v>
      </c>
      <c r="AE14" t="s">
        <v>173</v>
      </c>
      <c r="AF14" s="6"/>
      <c r="AG14" s="6">
        <v>2</v>
      </c>
    </row>
    <row r="15" spans="1:33" x14ac:dyDescent="0.3">
      <c r="A15" t="s">
        <v>175</v>
      </c>
      <c r="B15" s="6">
        <v>5</v>
      </c>
      <c r="D15" t="s">
        <v>177</v>
      </c>
      <c r="E15" s="6">
        <v>3</v>
      </c>
      <c r="G15" t="s">
        <v>80</v>
      </c>
      <c r="H15" s="6">
        <v>2</v>
      </c>
      <c r="M15" t="s">
        <v>199</v>
      </c>
      <c r="N15" s="6">
        <v>4</v>
      </c>
      <c r="T15" t="s">
        <v>175</v>
      </c>
      <c r="U15" s="6">
        <v>227</v>
      </c>
      <c r="V15" s="6">
        <v>5</v>
      </c>
      <c r="W15">
        <f>GETPIVOTDATA("Sum of Fatalities",$T$9,"Year","2005")/GETPIVOTDATA("Count of Year",$T$9,"Year","2005")</f>
        <v>45.4</v>
      </c>
      <c r="Y15" t="s">
        <v>96</v>
      </c>
      <c r="Z15" s="6">
        <v>108</v>
      </c>
      <c r="AB15" t="s">
        <v>56</v>
      </c>
      <c r="AC15" s="6">
        <v>16</v>
      </c>
      <c r="AE15" t="s">
        <v>174</v>
      </c>
      <c r="AF15" s="6"/>
      <c r="AG15" s="6">
        <v>1</v>
      </c>
    </row>
    <row r="16" spans="1:33" x14ac:dyDescent="0.3">
      <c r="A16" t="s">
        <v>176</v>
      </c>
      <c r="B16" s="6">
        <v>3</v>
      </c>
      <c r="D16" t="s">
        <v>178</v>
      </c>
      <c r="E16" s="6">
        <v>0</v>
      </c>
      <c r="G16" t="s">
        <v>58</v>
      </c>
      <c r="H16" s="6">
        <v>2</v>
      </c>
      <c r="M16" t="s">
        <v>198</v>
      </c>
      <c r="N16" s="6">
        <v>4</v>
      </c>
      <c r="T16" t="s">
        <v>176</v>
      </c>
      <c r="U16" s="6">
        <v>109</v>
      </c>
      <c r="V16" s="6">
        <v>3</v>
      </c>
      <c r="W16">
        <f>GETPIVOTDATA("Sum of Fatalities",$T$9,"Year","2006")/GETPIVOTDATA("Count of Year",$T$9,"Year","2006")</f>
        <v>36.333333333333336</v>
      </c>
      <c r="Y16" t="s">
        <v>103</v>
      </c>
      <c r="Z16" s="6">
        <v>117</v>
      </c>
      <c r="AB16" t="s">
        <v>151</v>
      </c>
      <c r="AC16" s="6">
        <v>159</v>
      </c>
      <c r="AE16" t="s">
        <v>175</v>
      </c>
      <c r="AF16" s="6">
        <v>3</v>
      </c>
      <c r="AG16" s="6">
        <v>2</v>
      </c>
    </row>
    <row r="17" spans="1:33" x14ac:dyDescent="0.3">
      <c r="A17" t="s">
        <v>177</v>
      </c>
      <c r="B17" s="6">
        <v>2</v>
      </c>
      <c r="D17" t="s">
        <v>179</v>
      </c>
      <c r="E17" s="6">
        <v>0</v>
      </c>
      <c r="M17" t="s">
        <v>197</v>
      </c>
      <c r="N17" s="6">
        <v>5</v>
      </c>
      <c r="T17" t="s">
        <v>177</v>
      </c>
      <c r="U17" s="6">
        <v>3</v>
      </c>
      <c r="V17" s="6">
        <v>2</v>
      </c>
      <c r="W17">
        <f>GETPIVOTDATA("Sum of Fatalities",$T$9,"Year","2008")/GETPIVOTDATA("Count of Year",$T$9,"Year","2008")</f>
        <v>1.5</v>
      </c>
      <c r="Y17" t="s">
        <v>34</v>
      </c>
      <c r="Z17" s="6">
        <v>159</v>
      </c>
      <c r="AB17" t="s">
        <v>94</v>
      </c>
      <c r="AC17" s="6">
        <v>108</v>
      </c>
      <c r="AE17" t="s">
        <v>176</v>
      </c>
      <c r="AF17" s="6">
        <v>2</v>
      </c>
      <c r="AG17" s="6">
        <v>1</v>
      </c>
    </row>
    <row r="18" spans="1:33" x14ac:dyDescent="0.3">
      <c r="A18" t="s">
        <v>178</v>
      </c>
      <c r="B18" s="6">
        <v>1</v>
      </c>
      <c r="D18" t="s">
        <v>180</v>
      </c>
      <c r="E18" s="6">
        <v>0</v>
      </c>
      <c r="M18" t="s">
        <v>196</v>
      </c>
      <c r="N18" s="6">
        <v>2</v>
      </c>
      <c r="T18" t="s">
        <v>178</v>
      </c>
      <c r="U18" s="6">
        <v>0</v>
      </c>
      <c r="V18" s="6">
        <v>1</v>
      </c>
      <c r="W18">
        <f>GETPIVOTDATA("Sum of Fatalities",$T$9,"Year","2009")/GETPIVOTDATA("Count of Year",$T$9,"Year","2009")</f>
        <v>0</v>
      </c>
      <c r="Y18" t="s">
        <v>20</v>
      </c>
      <c r="Z18" s="6">
        <v>200</v>
      </c>
      <c r="AB18" t="s">
        <v>63</v>
      </c>
      <c r="AC18" s="6">
        <v>159</v>
      </c>
      <c r="AE18" t="s">
        <v>177</v>
      </c>
      <c r="AF18" s="6">
        <v>1</v>
      </c>
      <c r="AG18" s="6">
        <v>1</v>
      </c>
    </row>
    <row r="19" spans="1:33" x14ac:dyDescent="0.3">
      <c r="A19" t="s">
        <v>179</v>
      </c>
      <c r="B19" s="6">
        <v>1</v>
      </c>
      <c r="D19" t="s">
        <v>181</v>
      </c>
      <c r="E19" s="6">
        <v>159</v>
      </c>
      <c r="M19" t="s">
        <v>195</v>
      </c>
      <c r="N19" s="6">
        <v>6</v>
      </c>
      <c r="T19" t="s">
        <v>179</v>
      </c>
      <c r="U19" s="6">
        <v>0</v>
      </c>
      <c r="V19" s="6">
        <v>1</v>
      </c>
      <c r="W19">
        <f>GETPIVOTDATA("Sum of Fatalities",$T$9,"Year","2010")/GETPIVOTDATA("Count of Year",$T$9,"Year","2010")</f>
        <v>0</v>
      </c>
      <c r="AB19" t="s">
        <v>237</v>
      </c>
      <c r="AC19" s="6">
        <v>18</v>
      </c>
      <c r="AE19" t="s">
        <v>178</v>
      </c>
      <c r="AF19" s="6"/>
      <c r="AG19" s="6">
        <v>1</v>
      </c>
    </row>
    <row r="20" spans="1:33" x14ac:dyDescent="0.3">
      <c r="A20" t="s">
        <v>180</v>
      </c>
      <c r="B20" s="6">
        <v>2</v>
      </c>
      <c r="D20" t="s">
        <v>182</v>
      </c>
      <c r="E20" s="6">
        <v>16</v>
      </c>
      <c r="M20" t="s">
        <v>194</v>
      </c>
      <c r="N20" s="6">
        <v>5</v>
      </c>
      <c r="T20" t="s">
        <v>180</v>
      </c>
      <c r="U20" s="6">
        <v>0</v>
      </c>
      <c r="V20" s="6">
        <v>2</v>
      </c>
      <c r="W20">
        <f>GETPIVOTDATA("Sum of Fatalities",$T$9,"Year","2011")/GETPIVOTDATA("Count of Year",$T$9,"Year","2011")</f>
        <v>0</v>
      </c>
      <c r="AE20" t="s">
        <v>179</v>
      </c>
      <c r="AF20" s="6"/>
      <c r="AG20" s="6">
        <v>1</v>
      </c>
    </row>
    <row r="21" spans="1:33" x14ac:dyDescent="0.3">
      <c r="A21" t="s">
        <v>181</v>
      </c>
      <c r="B21" s="6">
        <v>2</v>
      </c>
      <c r="D21" t="s">
        <v>183</v>
      </c>
      <c r="E21" s="6">
        <v>0</v>
      </c>
      <c r="M21" t="s">
        <v>193</v>
      </c>
      <c r="N21" s="6">
        <v>3</v>
      </c>
      <c r="T21" t="s">
        <v>181</v>
      </c>
      <c r="U21" s="6">
        <v>159</v>
      </c>
      <c r="V21" s="6">
        <v>2</v>
      </c>
      <c r="W21">
        <f>GETPIVOTDATA("Sum of Fatalities",$T$9,"Year","2012")/GETPIVOTDATA("Count of Year",$T$9,"Year","2012")</f>
        <v>79.5</v>
      </c>
      <c r="AE21" t="s">
        <v>180</v>
      </c>
      <c r="AF21" s="6"/>
      <c r="AG21" s="6">
        <v>2</v>
      </c>
    </row>
    <row r="22" spans="1:33" x14ac:dyDescent="0.3">
      <c r="A22" t="s">
        <v>182</v>
      </c>
      <c r="B22" s="6">
        <v>2</v>
      </c>
      <c r="D22" t="s">
        <v>184</v>
      </c>
      <c r="E22" s="6">
        <v>7</v>
      </c>
      <c r="T22" t="s">
        <v>182</v>
      </c>
      <c r="U22" s="6">
        <v>16</v>
      </c>
      <c r="V22" s="6">
        <v>2</v>
      </c>
      <c r="W22">
        <f>GETPIVOTDATA("Sum of Fatalities",$T$9,"Year","2013")/GETPIVOTDATA("Count of Year",$T$9,"Year","2013")</f>
        <v>8</v>
      </c>
      <c r="AE22" t="s">
        <v>181</v>
      </c>
      <c r="AF22" s="6">
        <v>1</v>
      </c>
      <c r="AG22" s="6">
        <v>1</v>
      </c>
    </row>
    <row r="23" spans="1:33" x14ac:dyDescent="0.3">
      <c r="A23" t="s">
        <v>183</v>
      </c>
      <c r="B23" s="6">
        <v>1</v>
      </c>
      <c r="D23" t="s">
        <v>185</v>
      </c>
      <c r="E23" s="6">
        <v>0</v>
      </c>
      <c r="T23" t="s">
        <v>183</v>
      </c>
      <c r="U23" s="6">
        <v>0</v>
      </c>
      <c r="V23" s="6">
        <v>1</v>
      </c>
      <c r="W23">
        <f>GETPIVOTDATA("Sum of Fatalities",$T$9,"Year","2014")/GETPIVOTDATA("Count of Year",$T$9,"Year","2014")</f>
        <v>0</v>
      </c>
      <c r="AE23" t="s">
        <v>182</v>
      </c>
      <c r="AF23" s="6">
        <v>1</v>
      </c>
      <c r="AG23" s="6">
        <v>1</v>
      </c>
    </row>
    <row r="24" spans="1:33" x14ac:dyDescent="0.3">
      <c r="A24" t="s">
        <v>184</v>
      </c>
      <c r="B24" s="6">
        <v>2</v>
      </c>
      <c r="D24" t="s">
        <v>186</v>
      </c>
      <c r="E24" s="6">
        <v>0</v>
      </c>
      <c r="T24" t="s">
        <v>184</v>
      </c>
      <c r="U24" s="6">
        <v>7</v>
      </c>
      <c r="V24" s="6">
        <v>2</v>
      </c>
      <c r="W24">
        <f>GETPIVOTDATA("Sum of Fatalities",$T$9,"Year","2015")/GETPIVOTDATA("Count of Year",$T$9,"Year","2015")</f>
        <v>3.5</v>
      </c>
      <c r="AE24" t="s">
        <v>183</v>
      </c>
      <c r="AF24" s="6"/>
      <c r="AG24" s="6">
        <v>1</v>
      </c>
    </row>
    <row r="25" spans="1:33" x14ac:dyDescent="0.3">
      <c r="A25" t="s">
        <v>185</v>
      </c>
      <c r="B25" s="6">
        <v>4</v>
      </c>
      <c r="D25" t="s">
        <v>187</v>
      </c>
      <c r="E25" s="6">
        <v>18</v>
      </c>
      <c r="T25" t="s">
        <v>185</v>
      </c>
      <c r="U25" s="6">
        <v>0</v>
      </c>
      <c r="V25" s="6">
        <v>4</v>
      </c>
      <c r="W25">
        <f>GETPIVOTDATA("Sum of Fatalities",$T$9,"Year","2018")/GETPIVOTDATA("Count of Year",$T$9,"Year","2018")</f>
        <v>0</v>
      </c>
      <c r="AE25" t="s">
        <v>184</v>
      </c>
      <c r="AF25" s="6">
        <v>1</v>
      </c>
      <c r="AG25" s="6">
        <v>1</v>
      </c>
    </row>
    <row r="26" spans="1:33" x14ac:dyDescent="0.3">
      <c r="A26" t="s">
        <v>186</v>
      </c>
      <c r="B26" s="6">
        <v>1</v>
      </c>
      <c r="D26" t="s">
        <v>188</v>
      </c>
      <c r="E26" s="6">
        <v>0</v>
      </c>
      <c r="T26" t="s">
        <v>186</v>
      </c>
      <c r="U26" s="6">
        <v>0</v>
      </c>
      <c r="V26" s="6">
        <v>1</v>
      </c>
      <c r="W26">
        <f>GETPIVOTDATA("Sum of Fatalities",$T$9,"Year","2019")/GETPIVOTDATA("Count of Year",$T$9,"Year","2019")</f>
        <v>0</v>
      </c>
      <c r="AE26" t="s">
        <v>185</v>
      </c>
      <c r="AF26" s="6"/>
      <c r="AG26" s="6">
        <v>4</v>
      </c>
    </row>
    <row r="27" spans="1:33" x14ac:dyDescent="0.3">
      <c r="A27" t="s">
        <v>187</v>
      </c>
      <c r="B27" s="6">
        <v>3</v>
      </c>
      <c r="D27" t="s">
        <v>189</v>
      </c>
      <c r="E27" s="6">
        <v>0</v>
      </c>
      <c r="T27" t="s">
        <v>187</v>
      </c>
      <c r="U27" s="6">
        <v>18</v>
      </c>
      <c r="V27" s="6">
        <v>3</v>
      </c>
      <c r="W27">
        <f>GETPIVOTDATA("Sum of Fatalities",$T$9,"Year","2021")/GETPIVOTDATA("Count of Year",$T$9,"Year","2021")</f>
        <v>6</v>
      </c>
      <c r="AE27" t="s">
        <v>186</v>
      </c>
      <c r="AF27" s="6"/>
      <c r="AG27" s="6">
        <v>1</v>
      </c>
    </row>
    <row r="28" spans="1:33" x14ac:dyDescent="0.3">
      <c r="A28" t="s">
        <v>188</v>
      </c>
      <c r="B28" s="6">
        <v>1</v>
      </c>
      <c r="D28" t="s">
        <v>190</v>
      </c>
      <c r="E28" s="6">
        <v>650</v>
      </c>
      <c r="T28" t="s">
        <v>188</v>
      </c>
      <c r="U28" s="6">
        <v>0</v>
      </c>
      <c r="V28" s="6">
        <v>1</v>
      </c>
      <c r="W28">
        <f>GETPIVOTDATA("Sum of Fatalities",$T$9,"Year","2023")/GETPIVOTDATA("Count of Year",$T$9,"Year","2023")</f>
        <v>0</v>
      </c>
      <c r="AE28" t="s">
        <v>187</v>
      </c>
      <c r="AF28" s="6">
        <v>2</v>
      </c>
      <c r="AG28" s="6">
        <v>1</v>
      </c>
    </row>
    <row r="29" spans="1:33" x14ac:dyDescent="0.3">
      <c r="A29" t="s">
        <v>189</v>
      </c>
      <c r="B29" s="6">
        <v>1</v>
      </c>
      <c r="T29" t="s">
        <v>189</v>
      </c>
      <c r="U29" s="6">
        <v>0</v>
      </c>
      <c r="V29" s="6">
        <v>1</v>
      </c>
      <c r="W29">
        <f>GETPIVOTDATA("Sum of Fatalities",$T$9,"Year","2024")/GETPIVOTDATA("Count of Year",$T$9,"Year","2024")</f>
        <v>0</v>
      </c>
      <c r="AE29" t="s">
        <v>188</v>
      </c>
      <c r="AF29" s="6"/>
      <c r="AG29" s="6">
        <v>1</v>
      </c>
    </row>
    <row r="30" spans="1:33" x14ac:dyDescent="0.3">
      <c r="T30" t="s">
        <v>240</v>
      </c>
      <c r="U30" s="6">
        <v>3</v>
      </c>
      <c r="V30" s="6">
        <v>2</v>
      </c>
      <c r="AE30" t="s">
        <v>189</v>
      </c>
      <c r="AF30" s="6"/>
      <c r="AG30" s="6">
        <v>1</v>
      </c>
    </row>
    <row r="31" spans="1:33" x14ac:dyDescent="0.3">
      <c r="T31" t="s">
        <v>241</v>
      </c>
      <c r="U31" s="6">
        <v>0</v>
      </c>
      <c r="V31" s="6">
        <v>1</v>
      </c>
      <c r="AE31" t="s">
        <v>240</v>
      </c>
      <c r="AF31" s="6">
        <v>1</v>
      </c>
      <c r="AG31" s="6">
        <v>1</v>
      </c>
    </row>
    <row r="32" spans="1:33" x14ac:dyDescent="0.3">
      <c r="T32" t="s">
        <v>242</v>
      </c>
      <c r="U32" s="6">
        <v>159</v>
      </c>
      <c r="V32" s="6">
        <v>1</v>
      </c>
      <c r="AE32" t="s">
        <v>241</v>
      </c>
      <c r="AF32" s="6"/>
      <c r="AG32" s="6">
        <v>1</v>
      </c>
    </row>
    <row r="33" spans="20:33" x14ac:dyDescent="0.3">
      <c r="T33" t="s">
        <v>243</v>
      </c>
      <c r="U33" s="6">
        <v>18</v>
      </c>
      <c r="V33" s="6">
        <v>1</v>
      </c>
      <c r="AE33" t="s">
        <v>242</v>
      </c>
      <c r="AF33" s="6">
        <v>1</v>
      </c>
      <c r="AG33" s="6"/>
    </row>
    <row r="34" spans="20:33" x14ac:dyDescent="0.3">
      <c r="AE34" t="s">
        <v>243</v>
      </c>
      <c r="AF34" s="6">
        <v>1</v>
      </c>
      <c r="AG34" s="6"/>
    </row>
  </sheetData>
  <sheetProtection algorithmName="SHA-512" hashValue="RfdtzGdf/u2Yzd3utfRsYudxyuRveJKOLbE/MRt5N8vJAItTo8EARBkYoRne7Vj+jafCeJu60MRWe1NLzifN7w==" saltValue="kyMbMWEqnq0wr6RzP6EZvA==" spinCount="100000" sheet="1" objects="1" scenarios="1"/>
  <mergeCells count="9">
    <mergeCell ref="Y8:Z8"/>
    <mergeCell ref="AB8:AC8"/>
    <mergeCell ref="AE8:AG8"/>
    <mergeCell ref="A8:B8"/>
    <mergeCell ref="D6:E6"/>
    <mergeCell ref="G8:H8"/>
    <mergeCell ref="J8:K8"/>
    <mergeCell ref="M8:N8"/>
    <mergeCell ref="T8:W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07ABE-E7D5-49B5-B246-12C428C8F930}">
  <sheetPr>
    <pageSetUpPr fitToPage="1"/>
  </sheetPr>
  <dimension ref="E1:Y5"/>
  <sheetViews>
    <sheetView showGridLines="0" showRowColHeaders="0" tabSelected="1" workbookViewId="0"/>
  </sheetViews>
  <sheetFormatPr defaultRowHeight="14.4" x14ac:dyDescent="0.3"/>
  <sheetData>
    <row r="1" spans="5:25" x14ac:dyDescent="0.3">
      <c r="E1" s="10" t="s">
        <v>226</v>
      </c>
      <c r="F1" s="10"/>
      <c r="G1" s="10"/>
      <c r="H1" s="10"/>
      <c r="I1" s="10"/>
      <c r="J1" s="10"/>
      <c r="K1" s="10"/>
      <c r="L1" s="10"/>
      <c r="M1" s="10"/>
      <c r="N1" s="10"/>
      <c r="V1" s="5" t="s">
        <v>227</v>
      </c>
      <c r="W1" s="5"/>
      <c r="X1" s="5"/>
      <c r="Y1" s="5"/>
    </row>
    <row r="2" spans="5:25" x14ac:dyDescent="0.3">
      <c r="E2" s="10"/>
      <c r="F2" s="10"/>
      <c r="G2" s="10"/>
      <c r="H2" s="10"/>
      <c r="I2" s="10"/>
      <c r="J2" s="10"/>
      <c r="K2" s="10"/>
      <c r="L2" s="10"/>
      <c r="M2" s="10"/>
      <c r="N2" s="10"/>
      <c r="V2" s="5" t="s">
        <v>22</v>
      </c>
      <c r="W2" s="5" t="s">
        <v>162</v>
      </c>
      <c r="X2" s="5"/>
      <c r="Y2" s="5"/>
    </row>
    <row r="3" spans="5:25" x14ac:dyDescent="0.3">
      <c r="E3" s="10"/>
      <c r="F3" s="10"/>
      <c r="G3" s="10"/>
      <c r="H3" s="10"/>
      <c r="I3" s="10"/>
      <c r="J3" s="10"/>
      <c r="K3" s="10"/>
      <c r="L3" s="10"/>
      <c r="M3" s="10"/>
      <c r="N3" s="10"/>
      <c r="V3" s="5" t="s">
        <v>9</v>
      </c>
      <c r="W3" s="5" t="s">
        <v>159</v>
      </c>
      <c r="X3" s="5"/>
      <c r="Y3" s="5"/>
    </row>
    <row r="4" spans="5:25" x14ac:dyDescent="0.3">
      <c r="V4" s="5" t="s">
        <v>72</v>
      </c>
      <c r="W4" s="5" t="s">
        <v>160</v>
      </c>
      <c r="X4" s="5"/>
      <c r="Y4" s="5"/>
    </row>
    <row r="5" spans="5:25" x14ac:dyDescent="0.3">
      <c r="V5" s="5" t="s">
        <v>40</v>
      </c>
      <c r="W5" s="5" t="s">
        <v>161</v>
      </c>
      <c r="X5" s="5"/>
      <c r="Y5" s="5"/>
    </row>
  </sheetData>
  <sheetProtection algorithmName="SHA-512" hashValue="RC7H9SPwwPwRiIQ0NunEG0OKkJrRqsZhrD0RbHDQAVXqaDTvbCSxkwkhNht5kD/TW6uj/Qh141yFcuMh1O+M3w==" saltValue="JagMVCzYvS4y3oFEXgn3+w==" spinCount="100000" sheet="1" objects="1" scenarios="1"/>
  <mergeCells count="1">
    <mergeCell ref="E1:N3"/>
  </mergeCells>
  <pageMargins left="0.25" right="0.25" top="0.75" bottom="0.75" header="0.3" footer="0.3"/>
  <pageSetup paperSize="3" scale="56"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nigerian_air_accidents</vt:lpstr>
      <vt:lpstr>Analysis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Ifeanyi Oranekwu</cp:lastModifiedBy>
  <cp:lastPrinted>2025-01-15T09:49:52Z</cp:lastPrinted>
  <dcterms:created xsi:type="dcterms:W3CDTF">2025-01-10T16:21:04Z</dcterms:created>
  <dcterms:modified xsi:type="dcterms:W3CDTF">2025-05-15T15:16:56Z</dcterms:modified>
</cp:coreProperties>
</file>