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garcia\Desktop\AXM_Courses\Finance\"/>
    </mc:Choice>
  </mc:AlternateContent>
  <xr:revisionPtr revIDLastSave="0" documentId="13_ncr:1_{D3254CB2-4127-47A8-91C3-A7BEB115A939}" xr6:coauthVersionLast="47" xr6:coauthVersionMax="47" xr10:uidLastSave="{00000000-0000-0000-0000-000000000000}"/>
  <bookViews>
    <workbookView xWindow="-3570" yWindow="-16335" windowWidth="29040" windowHeight="15840" tabRatio="702" xr2:uid="{00000000-000D-0000-FFFF-FFFF00000000}"/>
  </bookViews>
  <sheets>
    <sheet name="Principal" sheetId="9" r:id="rId1"/>
    <sheet name="Flujos Mensuales" sheetId="6" r:id="rId2"/>
    <sheet name="Flujos Anuales" sheetId="13" r:id="rId3"/>
    <sheet name="catalogos" sheetId="11" state="hidden" r:id="rId4"/>
    <sheet name="Calculadoras Online" sheetId="17" state="hidden" r:id="rId5"/>
    <sheet name="Property Tax Zillow" sheetId="5" state="hidden" r:id="rId6"/>
    <sheet name="Michigan Property Tax" sheetId="12" state="hidden" r:id="rId7"/>
    <sheet name="Property Tax Millage" sheetId="15" state="hidden" r:id="rId8"/>
    <sheet name="Amortizacion Gradual Frances A" sheetId="7" state="hidden" r:id="rId9"/>
    <sheet name="Tax Calculator links" sheetId="16" state="hidden" r:id="rId10"/>
    <sheet name="Plusvalia" sheetId="3" state="hidden" r:id="rId11"/>
    <sheet name="Opciones de Inversion" sheetId="19" r:id="rId12"/>
    <sheet name="Yield Curve" sheetId="14" state="hidden" r:id="rId13"/>
    <sheet name="Amortizacion Constante Aleman A" sheetId="2" state="hidden" r:id="rId14"/>
    <sheet name="Amortizacion Constante Aleman M" sheetId="8" state="hidden" r:id="rId15"/>
  </sheets>
  <definedNames>
    <definedName name="_xlnm._FilterDatabase" localSheetId="12" hidden="1">'Yield Curve'!$B$1:$P$133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9" l="1"/>
  <c r="K14" i="19" s="1"/>
  <c r="K15" i="19" s="1"/>
  <c r="E43" i="19"/>
  <c r="E12" i="19"/>
  <c r="E30" i="9"/>
  <c r="E25" i="9"/>
  <c r="AB14" i="13"/>
  <c r="J11" i="9"/>
  <c r="O16" i="6"/>
  <c r="O22" i="6"/>
  <c r="O25" i="6"/>
  <c r="J30" i="9"/>
  <c r="J28" i="9"/>
  <c r="J26" i="9"/>
  <c r="J17" i="9"/>
  <c r="D19" i="9"/>
  <c r="J13" i="9" s="1"/>
  <c r="D13" i="9"/>
  <c r="C3" i="8" s="1"/>
  <c r="D42" i="9"/>
  <c r="D41" i="9"/>
  <c r="D40" i="9"/>
  <c r="E40" i="13"/>
  <c r="J40" i="13" s="1"/>
  <c r="E41" i="13"/>
  <c r="G41" i="13" s="1"/>
  <c r="E42" i="13"/>
  <c r="G42" i="13" s="1"/>
  <c r="E43" i="13"/>
  <c r="G43" i="13" s="1"/>
  <c r="E44" i="13"/>
  <c r="G44" i="13" s="1"/>
  <c r="E45" i="13"/>
  <c r="G45" i="13" s="1"/>
  <c r="E46" i="13"/>
  <c r="J46" i="13" s="1"/>
  <c r="E47" i="13"/>
  <c r="G47" i="13" s="1"/>
  <c r="E48" i="13"/>
  <c r="G48" i="13" s="1"/>
  <c r="E49" i="13"/>
  <c r="G49" i="13" s="1"/>
  <c r="E42" i="3"/>
  <c r="E43" i="3"/>
  <c r="E44" i="3"/>
  <c r="E45" i="3"/>
  <c r="E46" i="3"/>
  <c r="E47" i="3"/>
  <c r="E48" i="3"/>
  <c r="E49" i="3"/>
  <c r="E50" i="3"/>
  <c r="E51" i="3"/>
  <c r="D42" i="3"/>
  <c r="D43" i="3"/>
  <c r="D44" i="3"/>
  <c r="D45" i="3"/>
  <c r="D46" i="3"/>
  <c r="D47" i="3"/>
  <c r="D48" i="3"/>
  <c r="D49" i="3"/>
  <c r="D50" i="3"/>
  <c r="D51" i="3"/>
  <c r="D40" i="3"/>
  <c r="D41" i="3"/>
  <c r="E9" i="13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C12" i="19"/>
  <c r="M14" i="6"/>
  <c r="O14" i="6" s="1"/>
  <c r="M15" i="6"/>
  <c r="O15" i="6" s="1"/>
  <c r="M16" i="6"/>
  <c r="M17" i="6"/>
  <c r="O17" i="6" s="1"/>
  <c r="M18" i="6"/>
  <c r="O18" i="6" s="1"/>
  <c r="M19" i="6"/>
  <c r="O19" i="6" s="1"/>
  <c r="M20" i="6"/>
  <c r="O20" i="6" s="1"/>
  <c r="M21" i="6"/>
  <c r="O21" i="6" s="1"/>
  <c r="M22" i="6"/>
  <c r="M23" i="6"/>
  <c r="O23" i="6" s="1"/>
  <c r="M24" i="6"/>
  <c r="O24" i="6" s="1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12" i="3"/>
  <c r="D15" i="9"/>
  <c r="D17" i="9" s="1"/>
  <c r="E10" i="13"/>
  <c r="D11" i="3"/>
  <c r="I8" i="13"/>
  <c r="W3" i="6"/>
  <c r="G27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21" i="5"/>
  <c r="N4" i="15"/>
  <c r="N5" i="15" s="1"/>
  <c r="N7" i="15" s="1"/>
  <c r="D7" i="11" s="1"/>
  <c r="D23" i="9" s="1"/>
  <c r="S39" i="13"/>
  <c r="S40" i="13" s="1"/>
  <c r="S41" i="13" s="1"/>
  <c r="S42" i="13" s="1"/>
  <c r="S43" i="13" s="1"/>
  <c r="P43" i="13" s="1"/>
  <c r="S38" i="13"/>
  <c r="S37" i="13"/>
  <c r="S36" i="13"/>
  <c r="S35" i="13"/>
  <c r="S34" i="13"/>
  <c r="S33" i="13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E6" i="13"/>
  <c r="C9" i="13"/>
  <c r="C13" i="19" s="1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21" i="5"/>
  <c r="D20" i="5"/>
  <c r="D8" i="11"/>
  <c r="C6" i="8"/>
  <c r="D14" i="5"/>
  <c r="D15" i="5"/>
  <c r="F7" i="3"/>
  <c r="J8" i="3"/>
  <c r="J7" i="3"/>
  <c r="I8" i="3"/>
  <c r="I7" i="3"/>
  <c r="H8" i="3"/>
  <c r="H7" i="3"/>
  <c r="F8" i="3"/>
  <c r="D3" i="11"/>
  <c r="C7" i="8"/>
  <c r="C7" i="2"/>
  <c r="C7" i="7"/>
  <c r="K16" i="19" l="1"/>
  <c r="P40" i="13"/>
  <c r="P42" i="13"/>
  <c r="P41" i="13"/>
  <c r="Y16" i="13"/>
  <c r="AB16" i="13"/>
  <c r="J10" i="13"/>
  <c r="O35" i="6" s="1"/>
  <c r="O26" i="6"/>
  <c r="P17" i="9" s="1"/>
  <c r="P26" i="9"/>
  <c r="W6" i="6"/>
  <c r="J9" i="9"/>
  <c r="J43" i="9"/>
  <c r="G46" i="13"/>
  <c r="J49" i="13"/>
  <c r="J48" i="13"/>
  <c r="J42" i="13"/>
  <c r="J41" i="13"/>
  <c r="J47" i="13"/>
  <c r="J45" i="13"/>
  <c r="J44" i="13"/>
  <c r="J43" i="13"/>
  <c r="E19" i="9"/>
  <c r="C10" i="13"/>
  <c r="C14" i="19" s="1"/>
  <c r="D21" i="9"/>
  <c r="D44" i="9"/>
  <c r="K9" i="13" s="1"/>
  <c r="K10" i="13" s="1"/>
  <c r="K11" i="13" s="1"/>
  <c r="K12" i="13" s="1"/>
  <c r="K13" i="13" s="1"/>
  <c r="K14" i="13" s="1"/>
  <c r="S44" i="13"/>
  <c r="P44" i="13" s="1"/>
  <c r="G40" i="13"/>
  <c r="Q14" i="6"/>
  <c r="E11" i="13"/>
  <c r="E12" i="3"/>
  <c r="C6" i="7"/>
  <c r="T5" i="6"/>
  <c r="C6" i="2"/>
  <c r="C10" i="2" s="1"/>
  <c r="C3" i="2"/>
  <c r="C3" i="7"/>
  <c r="C5" i="7" s="1"/>
  <c r="C8" i="7" s="1"/>
  <c r="T2" i="6"/>
  <c r="T4" i="6" s="1"/>
  <c r="T7" i="6" s="1"/>
  <c r="C10" i="8"/>
  <c r="E282" i="8" s="1"/>
  <c r="F13" i="8"/>
  <c r="C5" i="8"/>
  <c r="C8" i="8" s="1"/>
  <c r="C9" i="8" s="1"/>
  <c r="D4" i="7"/>
  <c r="D18" i="5"/>
  <c r="D6" i="11" s="1"/>
  <c r="D17" i="5"/>
  <c r="D5" i="11"/>
  <c r="D4" i="11"/>
  <c r="D13" i="2"/>
  <c r="K17" i="19" l="1"/>
  <c r="D27" i="9"/>
  <c r="P9" i="9" s="1"/>
  <c r="AE9" i="13"/>
  <c r="AB9" i="13"/>
  <c r="O36" i="6"/>
  <c r="O32" i="6"/>
  <c r="O30" i="6"/>
  <c r="O27" i="6"/>
  <c r="O29" i="6"/>
  <c r="O31" i="6"/>
  <c r="O33" i="6"/>
  <c r="O28" i="6"/>
  <c r="O34" i="6"/>
  <c r="O37" i="6"/>
  <c r="P28" i="9" s="1"/>
  <c r="P30" i="9" s="1" a="1"/>
  <c r="P30" i="9" s="1"/>
  <c r="C11" i="13"/>
  <c r="J11" i="13"/>
  <c r="K15" i="13"/>
  <c r="P56" i="6"/>
  <c r="P27" i="6"/>
  <c r="P47" i="6"/>
  <c r="S45" i="13"/>
  <c r="P45" i="13" s="1"/>
  <c r="E12" i="13"/>
  <c r="P4" i="9"/>
  <c r="T6" i="6"/>
  <c r="F14" i="6" s="1"/>
  <c r="D15" i="6" s="1"/>
  <c r="T8" i="6"/>
  <c r="C9" i="7"/>
  <c r="C10" i="7" s="1"/>
  <c r="C28" i="7" s="1"/>
  <c r="E336" i="8"/>
  <c r="E308" i="8"/>
  <c r="E174" i="8"/>
  <c r="E138" i="8"/>
  <c r="E277" i="8"/>
  <c r="E260" i="8"/>
  <c r="E192" i="8"/>
  <c r="E108" i="8"/>
  <c r="E371" i="8"/>
  <c r="E105" i="8"/>
  <c r="E345" i="8"/>
  <c r="E85" i="8"/>
  <c r="E344" i="8"/>
  <c r="E19" i="8"/>
  <c r="E337" i="8"/>
  <c r="E224" i="8"/>
  <c r="E193" i="8"/>
  <c r="E13" i="3"/>
  <c r="W2" i="6"/>
  <c r="H15" i="6" s="1"/>
  <c r="E368" i="8"/>
  <c r="E306" i="8"/>
  <c r="E222" i="8"/>
  <c r="E133" i="8"/>
  <c r="E366" i="8"/>
  <c r="E288" i="8"/>
  <c r="E201" i="8"/>
  <c r="E116" i="8"/>
  <c r="E361" i="8"/>
  <c r="E285" i="8"/>
  <c r="E200" i="8"/>
  <c r="E114" i="8"/>
  <c r="E333" i="8"/>
  <c r="E252" i="8"/>
  <c r="E165" i="8"/>
  <c r="E80" i="8"/>
  <c r="E318" i="8"/>
  <c r="E73" i="8"/>
  <c r="E313" i="8"/>
  <c r="E229" i="8"/>
  <c r="E144" i="8"/>
  <c r="E48" i="8"/>
  <c r="E258" i="8"/>
  <c r="E169" i="8"/>
  <c r="E84" i="8"/>
  <c r="E249" i="8"/>
  <c r="E164" i="8"/>
  <c r="E372" i="8"/>
  <c r="E309" i="8"/>
  <c r="E228" i="8"/>
  <c r="E141" i="8"/>
  <c r="E44" i="8"/>
  <c r="E49" i="8"/>
  <c r="E37" i="8"/>
  <c r="E15" i="8"/>
  <c r="E248" i="8"/>
  <c r="E132" i="8"/>
  <c r="E273" i="8"/>
  <c r="E157" i="8"/>
  <c r="E69" i="8"/>
  <c r="E272" i="8"/>
  <c r="E186" i="8"/>
  <c r="E156" i="8"/>
  <c r="E32" i="8"/>
  <c r="E356" i="8"/>
  <c r="E325" i="8"/>
  <c r="E297" i="8"/>
  <c r="E270" i="8"/>
  <c r="E240" i="8"/>
  <c r="E212" i="8"/>
  <c r="E181" i="8"/>
  <c r="E153" i="8"/>
  <c r="E126" i="8"/>
  <c r="E96" i="8"/>
  <c r="E61" i="8"/>
  <c r="E25" i="8"/>
  <c r="E217" i="8"/>
  <c r="E104" i="8"/>
  <c r="E332" i="8"/>
  <c r="E216" i="8"/>
  <c r="E102" i="8"/>
  <c r="E300" i="8"/>
  <c r="E128" i="8"/>
  <c r="E354" i="8"/>
  <c r="E324" i="8"/>
  <c r="E296" i="8"/>
  <c r="E265" i="8"/>
  <c r="E237" i="8"/>
  <c r="E210" i="8"/>
  <c r="E180" i="8"/>
  <c r="E152" i="8"/>
  <c r="E121" i="8"/>
  <c r="E93" i="8"/>
  <c r="E60" i="8"/>
  <c r="E24" i="8"/>
  <c r="E276" i="8"/>
  <c r="E162" i="8"/>
  <c r="E36" i="8"/>
  <c r="E301" i="8"/>
  <c r="E188" i="8"/>
  <c r="E129" i="8"/>
  <c r="E357" i="8"/>
  <c r="E241" i="8"/>
  <c r="E68" i="8"/>
  <c r="E349" i="8"/>
  <c r="E321" i="8"/>
  <c r="E294" i="8"/>
  <c r="E264" i="8"/>
  <c r="E236" i="8"/>
  <c r="E205" i="8"/>
  <c r="E177" i="8"/>
  <c r="E150" i="8"/>
  <c r="E120" i="8"/>
  <c r="E92" i="8"/>
  <c r="E57" i="8"/>
  <c r="E21" i="8"/>
  <c r="E189" i="8"/>
  <c r="E72" i="8"/>
  <c r="E360" i="8"/>
  <c r="E246" i="8"/>
  <c r="E33" i="8"/>
  <c r="E330" i="8"/>
  <c r="E213" i="8"/>
  <c r="E97" i="8"/>
  <c r="E373" i="8"/>
  <c r="E348" i="8"/>
  <c r="E320" i="8"/>
  <c r="E289" i="8"/>
  <c r="E261" i="8"/>
  <c r="E234" i="8"/>
  <c r="E204" i="8"/>
  <c r="E176" i="8"/>
  <c r="E145" i="8"/>
  <c r="E117" i="8"/>
  <c r="E90" i="8"/>
  <c r="E56" i="8"/>
  <c r="E20" i="8"/>
  <c r="E369" i="8"/>
  <c r="E342" i="8"/>
  <c r="E312" i="8"/>
  <c r="E284" i="8"/>
  <c r="E253" i="8"/>
  <c r="E225" i="8"/>
  <c r="E198" i="8"/>
  <c r="E168" i="8"/>
  <c r="E140" i="8"/>
  <c r="E109" i="8"/>
  <c r="E81" i="8"/>
  <c r="E45" i="8"/>
  <c r="I14" i="8"/>
  <c r="E30" i="8"/>
  <c r="E365" i="8"/>
  <c r="E341" i="8"/>
  <c r="E317" i="8"/>
  <c r="E305" i="8"/>
  <c r="E293" i="8"/>
  <c r="E281" i="8"/>
  <c r="E257" i="8"/>
  <c r="E245" i="8"/>
  <c r="E233" i="8"/>
  <c r="E221" i="8"/>
  <c r="E209" i="8"/>
  <c r="E197" i="8"/>
  <c r="E185" i="8"/>
  <c r="E173" i="8"/>
  <c r="E161" i="8"/>
  <c r="E149" i="8"/>
  <c r="E137" i="8"/>
  <c r="E125" i="8"/>
  <c r="E113" i="8"/>
  <c r="E101" i="8"/>
  <c r="E77" i="8"/>
  <c r="E65" i="8"/>
  <c r="E53" i="8"/>
  <c r="E41" i="8"/>
  <c r="E29" i="8"/>
  <c r="E17" i="8"/>
  <c r="E364" i="8"/>
  <c r="E340" i="8"/>
  <c r="E316" i="8"/>
  <c r="E280" i="8"/>
  <c r="E256" i="8"/>
  <c r="E232" i="8"/>
  <c r="E208" i="8"/>
  <c r="E184" i="8"/>
  <c r="E148" i="8"/>
  <c r="E88" i="8"/>
  <c r="E363" i="8"/>
  <c r="E351" i="8"/>
  <c r="E339" i="8"/>
  <c r="E327" i="8"/>
  <c r="E315" i="8"/>
  <c r="E303" i="8"/>
  <c r="E291" i="8"/>
  <c r="E279" i="8"/>
  <c r="E267" i="8"/>
  <c r="E255" i="8"/>
  <c r="E243" i="8"/>
  <c r="E231" i="8"/>
  <c r="E219" i="8"/>
  <c r="E207" i="8"/>
  <c r="E195" i="8"/>
  <c r="E183" i="8"/>
  <c r="E171" i="8"/>
  <c r="E159" i="8"/>
  <c r="E147" i="8"/>
  <c r="E135" i="8"/>
  <c r="E123" i="8"/>
  <c r="E111" i="8"/>
  <c r="E99" i="8"/>
  <c r="E87" i="8"/>
  <c r="E75" i="8"/>
  <c r="E63" i="8"/>
  <c r="E51" i="8"/>
  <c r="E39" i="8"/>
  <c r="E27" i="8"/>
  <c r="E16" i="8"/>
  <c r="E78" i="8"/>
  <c r="E66" i="8"/>
  <c r="E54" i="8"/>
  <c r="E42" i="8"/>
  <c r="E18" i="8"/>
  <c r="E353" i="8"/>
  <c r="E329" i="8"/>
  <c r="E269" i="8"/>
  <c r="E89" i="8"/>
  <c r="E352" i="8"/>
  <c r="E328" i="8"/>
  <c r="E304" i="8"/>
  <c r="E292" i="8"/>
  <c r="E268" i="8"/>
  <c r="E244" i="8"/>
  <c r="E220" i="8"/>
  <c r="E196" i="8"/>
  <c r="E172" i="8"/>
  <c r="E160" i="8"/>
  <c r="E136" i="8"/>
  <c r="E124" i="8"/>
  <c r="E112" i="8"/>
  <c r="E100" i="8"/>
  <c r="E76" i="8"/>
  <c r="E64" i="8"/>
  <c r="E52" i="8"/>
  <c r="E40" i="8"/>
  <c r="E28" i="8"/>
  <c r="E362" i="8"/>
  <c r="E350" i="8"/>
  <c r="E338" i="8"/>
  <c r="E326" i="8"/>
  <c r="E314" i="8"/>
  <c r="E302" i="8"/>
  <c r="E290" i="8"/>
  <c r="E278" i="8"/>
  <c r="E266" i="8"/>
  <c r="E254" i="8"/>
  <c r="E242" i="8"/>
  <c r="E230" i="8"/>
  <c r="E218" i="8"/>
  <c r="E206" i="8"/>
  <c r="E194" i="8"/>
  <c r="E182" i="8"/>
  <c r="E170" i="8"/>
  <c r="E158" i="8"/>
  <c r="E146" i="8"/>
  <c r="E134" i="8"/>
  <c r="E122" i="8"/>
  <c r="E110" i="8"/>
  <c r="E98" i="8"/>
  <c r="E86" i="8"/>
  <c r="E74" i="8"/>
  <c r="E62" i="8"/>
  <c r="E50" i="8"/>
  <c r="E38" i="8"/>
  <c r="E26" i="8"/>
  <c r="E359" i="8"/>
  <c r="E347" i="8"/>
  <c r="E335" i="8"/>
  <c r="E323" i="8"/>
  <c r="E311" i="8"/>
  <c r="E299" i="8"/>
  <c r="E287" i="8"/>
  <c r="E275" i="8"/>
  <c r="E263" i="8"/>
  <c r="E251" i="8"/>
  <c r="E239" i="8"/>
  <c r="E227" i="8"/>
  <c r="E215" i="8"/>
  <c r="E203" i="8"/>
  <c r="E191" i="8"/>
  <c r="E179" i="8"/>
  <c r="E167" i="8"/>
  <c r="E155" i="8"/>
  <c r="E143" i="8"/>
  <c r="E131" i="8"/>
  <c r="E119" i="8"/>
  <c r="E107" i="8"/>
  <c r="E95" i="8"/>
  <c r="E83" i="8"/>
  <c r="E71" i="8"/>
  <c r="E59" i="8"/>
  <c r="E47" i="8"/>
  <c r="E35" i="8"/>
  <c r="E23" i="8"/>
  <c r="E370" i="8"/>
  <c r="E358" i="8"/>
  <c r="E346" i="8"/>
  <c r="E334" i="8"/>
  <c r="E322" i="8"/>
  <c r="E310" i="8"/>
  <c r="E298" i="8"/>
  <c r="E286" i="8"/>
  <c r="E274" i="8"/>
  <c r="E262" i="8"/>
  <c r="E250" i="8"/>
  <c r="E238" i="8"/>
  <c r="E226" i="8"/>
  <c r="E214" i="8"/>
  <c r="E202" i="8"/>
  <c r="E190" i="8"/>
  <c r="E178" i="8"/>
  <c r="E166" i="8"/>
  <c r="E154" i="8"/>
  <c r="E142" i="8"/>
  <c r="E130" i="8"/>
  <c r="E118" i="8"/>
  <c r="E106" i="8"/>
  <c r="E94" i="8"/>
  <c r="E82" i="8"/>
  <c r="E70" i="8"/>
  <c r="E58" i="8"/>
  <c r="E46" i="8"/>
  <c r="E34" i="8"/>
  <c r="E22" i="8"/>
  <c r="E367" i="8"/>
  <c r="E355" i="8"/>
  <c r="E343" i="8"/>
  <c r="E331" i="8"/>
  <c r="E319" i="8"/>
  <c r="E307" i="8"/>
  <c r="E295" i="8"/>
  <c r="E283" i="8"/>
  <c r="E271" i="8"/>
  <c r="E259" i="8"/>
  <c r="E247" i="8"/>
  <c r="E235" i="8"/>
  <c r="E223" i="8"/>
  <c r="E211" i="8"/>
  <c r="E199" i="8"/>
  <c r="E187" i="8"/>
  <c r="E175" i="8"/>
  <c r="E163" i="8"/>
  <c r="E151" i="8"/>
  <c r="E139" i="8"/>
  <c r="E127" i="8"/>
  <c r="E115" i="8"/>
  <c r="E103" i="8"/>
  <c r="E91" i="8"/>
  <c r="E79" i="8"/>
  <c r="E67" i="8"/>
  <c r="E55" i="8"/>
  <c r="E43" i="8"/>
  <c r="E31" i="8"/>
  <c r="D14" i="8"/>
  <c r="F13" i="7"/>
  <c r="D14" i="7" s="1"/>
  <c r="G13" i="2"/>
  <c r="C5" i="2"/>
  <c r="C8" i="2" s="1"/>
  <c r="C9" i="2" s="1"/>
  <c r="K18" i="19" l="1"/>
  <c r="K19" i="19" s="1"/>
  <c r="K20" i="19" s="1"/>
  <c r="W4" i="6"/>
  <c r="W5" i="6" s="1"/>
  <c r="J12" i="13"/>
  <c r="O40" i="6"/>
  <c r="O46" i="6"/>
  <c r="O49" i="6"/>
  <c r="O38" i="6"/>
  <c r="O44" i="6"/>
  <c r="O41" i="6"/>
  <c r="O45" i="6"/>
  <c r="O42" i="6"/>
  <c r="O39" i="6"/>
  <c r="O48" i="6"/>
  <c r="O47" i="6"/>
  <c r="O43" i="6"/>
  <c r="H24" i="6"/>
  <c r="H38" i="6"/>
  <c r="H51" i="6"/>
  <c r="H64" i="6"/>
  <c r="H77" i="6"/>
  <c r="H90" i="6"/>
  <c r="H103" i="6"/>
  <c r="H116" i="6"/>
  <c r="H129" i="6"/>
  <c r="H142" i="6"/>
  <c r="H155" i="6"/>
  <c r="H168" i="6"/>
  <c r="H182" i="6"/>
  <c r="H195" i="6"/>
  <c r="H208" i="6"/>
  <c r="H221" i="6"/>
  <c r="H234" i="6"/>
  <c r="H247" i="6"/>
  <c r="H260" i="6"/>
  <c r="H273" i="6"/>
  <c r="H286" i="6"/>
  <c r="H299" i="6"/>
  <c r="H312" i="6"/>
  <c r="H326" i="6"/>
  <c r="H339" i="6"/>
  <c r="H352" i="6"/>
  <c r="H365" i="6"/>
  <c r="H136" i="6"/>
  <c r="H227" i="6"/>
  <c r="H306" i="6"/>
  <c r="H215" i="6"/>
  <c r="H346" i="6"/>
  <c r="H33" i="6"/>
  <c r="H321" i="6"/>
  <c r="H60" i="6"/>
  <c r="H74" i="6"/>
  <c r="H87" i="6"/>
  <c r="H100" i="6"/>
  <c r="H126" i="6"/>
  <c r="H152" i="6"/>
  <c r="H204" i="6"/>
  <c r="H244" i="6"/>
  <c r="H322" i="6"/>
  <c r="H26" i="6"/>
  <c r="P11" i="9" s="1"/>
  <c r="H39" i="6"/>
  <c r="H52" i="6"/>
  <c r="H65" i="6"/>
  <c r="H78" i="6"/>
  <c r="H91" i="6"/>
  <c r="H104" i="6"/>
  <c r="H117" i="6"/>
  <c r="H130" i="6"/>
  <c r="H143" i="6"/>
  <c r="H156" i="6"/>
  <c r="H170" i="6"/>
  <c r="H183" i="6"/>
  <c r="H196" i="6"/>
  <c r="H209" i="6"/>
  <c r="H222" i="6"/>
  <c r="H235" i="6"/>
  <c r="H248" i="6"/>
  <c r="H261" i="6"/>
  <c r="H274" i="6"/>
  <c r="H287" i="6"/>
  <c r="H300" i="6"/>
  <c r="H314" i="6"/>
  <c r="H327" i="6"/>
  <c r="H340" i="6"/>
  <c r="H353" i="6"/>
  <c r="H366" i="6"/>
  <c r="H163" i="6"/>
  <c r="H294" i="6"/>
  <c r="H46" i="6"/>
  <c r="H72" i="6"/>
  <c r="H99" i="6"/>
  <c r="H151" i="6"/>
  <c r="H177" i="6"/>
  <c r="H243" i="6"/>
  <c r="H282" i="6"/>
  <c r="H360" i="6"/>
  <c r="H47" i="6"/>
  <c r="H309" i="6"/>
  <c r="H27" i="6"/>
  <c r="H40" i="6"/>
  <c r="H53" i="6"/>
  <c r="H66" i="6"/>
  <c r="H79" i="6"/>
  <c r="H92" i="6"/>
  <c r="H105" i="6"/>
  <c r="H118" i="6"/>
  <c r="H131" i="6"/>
  <c r="H144" i="6"/>
  <c r="H158" i="6"/>
  <c r="H171" i="6"/>
  <c r="H184" i="6"/>
  <c r="H197" i="6"/>
  <c r="H210" i="6"/>
  <c r="H223" i="6"/>
  <c r="H236" i="6"/>
  <c r="H249" i="6"/>
  <c r="H262" i="6"/>
  <c r="H275" i="6"/>
  <c r="H288" i="6"/>
  <c r="H302" i="6"/>
  <c r="H315" i="6"/>
  <c r="H328" i="6"/>
  <c r="H341" i="6"/>
  <c r="H354" i="6"/>
  <c r="H367" i="6"/>
  <c r="H31" i="6"/>
  <c r="H254" i="6"/>
  <c r="H345" i="6"/>
  <c r="H19" i="6"/>
  <c r="H45" i="6"/>
  <c r="H58" i="6"/>
  <c r="H71" i="6"/>
  <c r="H98" i="6"/>
  <c r="H124" i="6"/>
  <c r="H176" i="6"/>
  <c r="H228" i="6"/>
  <c r="H255" i="6"/>
  <c r="H307" i="6"/>
  <c r="H372" i="6"/>
  <c r="H138" i="6"/>
  <c r="H230" i="6"/>
  <c r="H269" i="6"/>
  <c r="H347" i="6"/>
  <c r="H362" i="6"/>
  <c r="H28" i="6"/>
  <c r="H41" i="6"/>
  <c r="H54" i="6"/>
  <c r="H67" i="6"/>
  <c r="H80" i="6"/>
  <c r="H93" i="6"/>
  <c r="H106" i="6"/>
  <c r="H119" i="6"/>
  <c r="H132" i="6"/>
  <c r="H146" i="6"/>
  <c r="H159" i="6"/>
  <c r="H172" i="6"/>
  <c r="H185" i="6"/>
  <c r="H198" i="6"/>
  <c r="H211" i="6"/>
  <c r="H224" i="6"/>
  <c r="H237" i="6"/>
  <c r="H250" i="6"/>
  <c r="H263" i="6"/>
  <c r="H276" i="6"/>
  <c r="H290" i="6"/>
  <c r="H303" i="6"/>
  <c r="H316" i="6"/>
  <c r="H329" i="6"/>
  <c r="H342" i="6"/>
  <c r="H355" i="6"/>
  <c r="H368" i="6"/>
  <c r="H96" i="6"/>
  <c r="H188" i="6"/>
  <c r="H280" i="6"/>
  <c r="H358" i="6"/>
  <c r="H32" i="6"/>
  <c r="H84" i="6"/>
  <c r="H111" i="6"/>
  <c r="H150" i="6"/>
  <c r="H202" i="6"/>
  <c r="H242" i="6"/>
  <c r="H281" i="6"/>
  <c r="H333" i="6"/>
  <c r="H112" i="6"/>
  <c r="H216" i="6"/>
  <c r="H308" i="6"/>
  <c r="H165" i="6"/>
  <c r="H283" i="6"/>
  <c r="H16" i="6"/>
  <c r="H29" i="6"/>
  <c r="H42" i="6"/>
  <c r="H55" i="6"/>
  <c r="H68" i="6"/>
  <c r="H81" i="6"/>
  <c r="H94" i="6"/>
  <c r="H107" i="6"/>
  <c r="H120" i="6"/>
  <c r="H134" i="6"/>
  <c r="H147" i="6"/>
  <c r="H160" i="6"/>
  <c r="H173" i="6"/>
  <c r="H186" i="6"/>
  <c r="H199" i="6"/>
  <c r="H212" i="6"/>
  <c r="H225" i="6"/>
  <c r="H238" i="6"/>
  <c r="H251" i="6"/>
  <c r="H264" i="6"/>
  <c r="H278" i="6"/>
  <c r="H291" i="6"/>
  <c r="H304" i="6"/>
  <c r="H317" i="6"/>
  <c r="H330" i="6"/>
  <c r="H343" i="6"/>
  <c r="H356" i="6"/>
  <c r="H369" i="6"/>
  <c r="H18" i="6"/>
  <c r="H70" i="6"/>
  <c r="H110" i="6"/>
  <c r="H149" i="6"/>
  <c r="H175" i="6"/>
  <c r="H214" i="6"/>
  <c r="H267" i="6"/>
  <c r="H319" i="6"/>
  <c r="H137" i="6"/>
  <c r="H268" i="6"/>
  <c r="H359" i="6"/>
  <c r="H20" i="6"/>
  <c r="H59" i="6"/>
  <c r="H86" i="6"/>
  <c r="H125" i="6"/>
  <c r="H164" i="6"/>
  <c r="H190" i="6"/>
  <c r="H256" i="6"/>
  <c r="H295" i="6"/>
  <c r="H374" i="6"/>
  <c r="H113" i="6"/>
  <c r="H191" i="6"/>
  <c r="H257" i="6"/>
  <c r="H348" i="6"/>
  <c r="H17" i="6"/>
  <c r="H30" i="6"/>
  <c r="H43" i="6"/>
  <c r="H56" i="6"/>
  <c r="H69" i="6"/>
  <c r="H82" i="6"/>
  <c r="H95" i="6"/>
  <c r="H108" i="6"/>
  <c r="H122" i="6"/>
  <c r="H135" i="6"/>
  <c r="H148" i="6"/>
  <c r="H161" i="6"/>
  <c r="H174" i="6"/>
  <c r="H187" i="6"/>
  <c r="H200" i="6"/>
  <c r="H213" i="6"/>
  <c r="H226" i="6"/>
  <c r="H239" i="6"/>
  <c r="H252" i="6"/>
  <c r="H266" i="6"/>
  <c r="H279" i="6"/>
  <c r="H292" i="6"/>
  <c r="H305" i="6"/>
  <c r="H318" i="6"/>
  <c r="H331" i="6"/>
  <c r="H344" i="6"/>
  <c r="H357" i="6"/>
  <c r="H370" i="6"/>
  <c r="H44" i="6"/>
  <c r="H57" i="6"/>
  <c r="H83" i="6"/>
  <c r="H123" i="6"/>
  <c r="H162" i="6"/>
  <c r="H201" i="6"/>
  <c r="H240" i="6"/>
  <c r="H293" i="6"/>
  <c r="H332" i="6"/>
  <c r="H371" i="6"/>
  <c r="H189" i="6"/>
  <c r="H320" i="6"/>
  <c r="H203" i="6"/>
  <c r="H334" i="6"/>
  <c r="H34" i="6"/>
  <c r="H218" i="6"/>
  <c r="H296" i="6"/>
  <c r="H22" i="6"/>
  <c r="H35" i="6"/>
  <c r="H48" i="6"/>
  <c r="H62" i="6"/>
  <c r="H75" i="6"/>
  <c r="H88" i="6"/>
  <c r="H101" i="6"/>
  <c r="H114" i="6"/>
  <c r="H127" i="6"/>
  <c r="H140" i="6"/>
  <c r="H153" i="6"/>
  <c r="H166" i="6"/>
  <c r="H179" i="6"/>
  <c r="H192" i="6"/>
  <c r="H206" i="6"/>
  <c r="H219" i="6"/>
  <c r="H232" i="6"/>
  <c r="H245" i="6"/>
  <c r="H258" i="6"/>
  <c r="H271" i="6"/>
  <c r="H284" i="6"/>
  <c r="H297" i="6"/>
  <c r="H310" i="6"/>
  <c r="H323" i="6"/>
  <c r="H336" i="6"/>
  <c r="H350" i="6"/>
  <c r="H363" i="6"/>
  <c r="H23" i="6"/>
  <c r="H36" i="6"/>
  <c r="H50" i="6"/>
  <c r="H63" i="6"/>
  <c r="H76" i="6"/>
  <c r="H89" i="6"/>
  <c r="H102" i="6"/>
  <c r="H115" i="6"/>
  <c r="H128" i="6"/>
  <c r="H141" i="6"/>
  <c r="H154" i="6"/>
  <c r="H167" i="6"/>
  <c r="H180" i="6"/>
  <c r="H194" i="6"/>
  <c r="H207" i="6"/>
  <c r="H220" i="6"/>
  <c r="H233" i="6"/>
  <c r="H246" i="6"/>
  <c r="H259" i="6"/>
  <c r="H272" i="6"/>
  <c r="H285" i="6"/>
  <c r="H298" i="6"/>
  <c r="H311" i="6"/>
  <c r="H324" i="6"/>
  <c r="H338" i="6"/>
  <c r="H351" i="6"/>
  <c r="H364" i="6"/>
  <c r="H21" i="6"/>
  <c r="H139" i="6"/>
  <c r="H178" i="6"/>
  <c r="H231" i="6"/>
  <c r="H270" i="6"/>
  <c r="H335" i="6"/>
  <c r="C12" i="13"/>
  <c r="C15" i="19"/>
  <c r="K16" i="13"/>
  <c r="H37" i="6"/>
  <c r="H121" i="6"/>
  <c r="H217" i="6"/>
  <c r="H289" i="6"/>
  <c r="H85" i="6"/>
  <c r="H109" i="6"/>
  <c r="H181" i="6"/>
  <c r="H253" i="6"/>
  <c r="H313" i="6"/>
  <c r="H49" i="6"/>
  <c r="H133" i="6"/>
  <c r="H193" i="6"/>
  <c r="H265" i="6"/>
  <c r="H373" i="6"/>
  <c r="H97" i="6"/>
  <c r="H337" i="6"/>
  <c r="H61" i="6"/>
  <c r="H157" i="6"/>
  <c r="H229" i="6"/>
  <c r="H325" i="6"/>
  <c r="H25" i="6"/>
  <c r="H169" i="6"/>
  <c r="H241" i="6"/>
  <c r="H301" i="6"/>
  <c r="H361" i="6"/>
  <c r="H73" i="6"/>
  <c r="H145" i="6"/>
  <c r="H205" i="6"/>
  <c r="H277" i="6"/>
  <c r="H349" i="6"/>
  <c r="P37" i="6"/>
  <c r="P20" i="6"/>
  <c r="P29" i="6"/>
  <c r="P34" i="6"/>
  <c r="P58" i="6"/>
  <c r="P53" i="6"/>
  <c r="P50" i="6"/>
  <c r="P17" i="6"/>
  <c r="P21" i="6"/>
  <c r="P41" i="6"/>
  <c r="P42" i="6"/>
  <c r="P23" i="6"/>
  <c r="P16" i="6"/>
  <c r="P22" i="6"/>
  <c r="P24" i="6"/>
  <c r="P19" i="6"/>
  <c r="P15" i="6"/>
  <c r="P18" i="6"/>
  <c r="P55" i="6"/>
  <c r="P61" i="6"/>
  <c r="P54" i="6"/>
  <c r="P57" i="6"/>
  <c r="P51" i="6"/>
  <c r="P52" i="6"/>
  <c r="P60" i="6"/>
  <c r="P59" i="6"/>
  <c r="P25" i="6"/>
  <c r="P26" i="6"/>
  <c r="P15" i="9" s="1"/>
  <c r="P33" i="6"/>
  <c r="P30" i="6"/>
  <c r="P31" i="6"/>
  <c r="P32" i="6"/>
  <c r="P28" i="6"/>
  <c r="P36" i="6"/>
  <c r="P35" i="6"/>
  <c r="P48" i="6"/>
  <c r="P38" i="6"/>
  <c r="P44" i="6"/>
  <c r="P46" i="6"/>
  <c r="P39" i="6"/>
  <c r="P40" i="6"/>
  <c r="P49" i="6"/>
  <c r="P43" i="6"/>
  <c r="P45" i="6"/>
  <c r="S46" i="13"/>
  <c r="P46" i="13" s="1"/>
  <c r="E13" i="13"/>
  <c r="T9" i="6"/>
  <c r="P7" i="9" s="1"/>
  <c r="J14" i="6"/>
  <c r="C43" i="7"/>
  <c r="C16" i="7"/>
  <c r="C42" i="7"/>
  <c r="C29" i="7"/>
  <c r="C26" i="7"/>
  <c r="C37" i="7"/>
  <c r="C18" i="7"/>
  <c r="C31" i="7"/>
  <c r="C23" i="7"/>
  <c r="C33" i="7"/>
  <c r="C20" i="7"/>
  <c r="C40" i="7"/>
  <c r="C36" i="7"/>
  <c r="C24" i="7"/>
  <c r="C27" i="7"/>
  <c r="C34" i="7"/>
  <c r="C38" i="7"/>
  <c r="C19" i="7"/>
  <c r="C25" i="7"/>
  <c r="C41" i="7"/>
  <c r="C21" i="7"/>
  <c r="C39" i="7"/>
  <c r="C35" i="7"/>
  <c r="C30" i="7"/>
  <c r="C22" i="7"/>
  <c r="C17" i="7"/>
  <c r="C32" i="7"/>
  <c r="E14" i="3"/>
  <c r="E14" i="8"/>
  <c r="C15" i="7"/>
  <c r="C14" i="7"/>
  <c r="F14" i="2"/>
  <c r="G14" i="2" s="1"/>
  <c r="E14" i="2"/>
  <c r="K21" i="19" l="1"/>
  <c r="O52" i="6"/>
  <c r="O58" i="6"/>
  <c r="O61" i="6"/>
  <c r="O56" i="6"/>
  <c r="O53" i="6"/>
  <c r="O59" i="6"/>
  <c r="O57" i="6"/>
  <c r="O51" i="6"/>
  <c r="O60" i="6"/>
  <c r="O55" i="6"/>
  <c r="O54" i="6"/>
  <c r="O50" i="6"/>
  <c r="P64" i="6"/>
  <c r="J13" i="13"/>
  <c r="C13" i="13"/>
  <c r="C16" i="19"/>
  <c r="K17" i="13"/>
  <c r="P62" i="6"/>
  <c r="P63" i="6"/>
  <c r="P71" i="6"/>
  <c r="P69" i="6"/>
  <c r="P72" i="6"/>
  <c r="P66" i="6"/>
  <c r="P67" i="6"/>
  <c r="P70" i="6"/>
  <c r="P65" i="6"/>
  <c r="P68" i="6"/>
  <c r="P73" i="6"/>
  <c r="S47" i="13"/>
  <c r="P47" i="13" s="1"/>
  <c r="E14" i="13"/>
  <c r="C54" i="6"/>
  <c r="I54" i="6" s="1"/>
  <c r="C94" i="6"/>
  <c r="I94" i="6" s="1"/>
  <c r="C248" i="6"/>
  <c r="I248" i="6" s="1"/>
  <c r="C262" i="6"/>
  <c r="I262" i="6" s="1"/>
  <c r="C310" i="6"/>
  <c r="I310" i="6" s="1"/>
  <c r="C59" i="6"/>
  <c r="I59" i="6" s="1"/>
  <c r="C167" i="6"/>
  <c r="I167" i="6" s="1"/>
  <c r="C323" i="6"/>
  <c r="I323" i="6" s="1"/>
  <c r="C31" i="6"/>
  <c r="I31" i="6" s="1"/>
  <c r="C15" i="6"/>
  <c r="C210" i="6"/>
  <c r="I210" i="6" s="1"/>
  <c r="C267" i="6"/>
  <c r="I267" i="6" s="1"/>
  <c r="C368" i="6"/>
  <c r="I368" i="6" s="1"/>
  <c r="C38" i="6"/>
  <c r="I38" i="6" s="1"/>
  <c r="C220" i="6"/>
  <c r="I220" i="6" s="1"/>
  <c r="C98" i="6"/>
  <c r="I98" i="6" s="1"/>
  <c r="C40" i="6"/>
  <c r="I40" i="6" s="1"/>
  <c r="C215" i="6"/>
  <c r="I215" i="6" s="1"/>
  <c r="C242" i="6"/>
  <c r="I242" i="6" s="1"/>
  <c r="C161" i="6"/>
  <c r="I161" i="6" s="1"/>
  <c r="C366" i="6"/>
  <c r="I366" i="6" s="1"/>
  <c r="C270" i="6"/>
  <c r="I270" i="6" s="1"/>
  <c r="C223" i="6"/>
  <c r="I223" i="6" s="1"/>
  <c r="C296" i="6"/>
  <c r="I296" i="6" s="1"/>
  <c r="C367" i="6"/>
  <c r="I367" i="6" s="1"/>
  <c r="C63" i="6"/>
  <c r="I63" i="6" s="1"/>
  <c r="C208" i="6"/>
  <c r="I208" i="6" s="1"/>
  <c r="C49" i="6"/>
  <c r="I49" i="6" s="1"/>
  <c r="C118" i="6"/>
  <c r="I118" i="6" s="1"/>
  <c r="C104" i="6"/>
  <c r="I104" i="6" s="1"/>
  <c r="C315" i="6"/>
  <c r="I315" i="6" s="1"/>
  <c r="C308" i="6"/>
  <c r="I308" i="6" s="1"/>
  <c r="C227" i="6"/>
  <c r="I227" i="6" s="1"/>
  <c r="C213" i="6"/>
  <c r="I213" i="6" s="1"/>
  <c r="C162" i="6"/>
  <c r="I162" i="6" s="1"/>
  <c r="C180" i="6"/>
  <c r="I180" i="6" s="1"/>
  <c r="C184" i="6"/>
  <c r="I184" i="6" s="1"/>
  <c r="C129" i="6"/>
  <c r="I129" i="6" s="1"/>
  <c r="C324" i="6"/>
  <c r="I324" i="6" s="1"/>
  <c r="C232" i="6"/>
  <c r="I232" i="6" s="1"/>
  <c r="C107" i="6"/>
  <c r="I107" i="6" s="1"/>
  <c r="C103" i="6"/>
  <c r="I103" i="6" s="1"/>
  <c r="C278" i="6"/>
  <c r="I278" i="6" s="1"/>
  <c r="C188" i="6"/>
  <c r="I188" i="6" s="1"/>
  <c r="C370" i="6"/>
  <c r="I370" i="6" s="1"/>
  <c r="C256" i="6"/>
  <c r="I256" i="6" s="1"/>
  <c r="C17" i="6"/>
  <c r="I17" i="6" s="1"/>
  <c r="C204" i="6"/>
  <c r="I204" i="6" s="1"/>
  <c r="C152" i="6"/>
  <c r="I152" i="6" s="1"/>
  <c r="C328" i="6"/>
  <c r="I328" i="6" s="1"/>
  <c r="C363" i="6"/>
  <c r="I363" i="6" s="1"/>
  <c r="C85" i="6"/>
  <c r="I85" i="6" s="1"/>
  <c r="C95" i="6"/>
  <c r="I95" i="6" s="1"/>
  <c r="C21" i="6"/>
  <c r="I21" i="6" s="1"/>
  <c r="C345" i="6"/>
  <c r="I345" i="6" s="1"/>
  <c r="C304" i="6"/>
  <c r="I304" i="6" s="1"/>
  <c r="C75" i="6"/>
  <c r="I75" i="6" s="1"/>
  <c r="C282" i="6"/>
  <c r="I282" i="6" s="1"/>
  <c r="C47" i="6"/>
  <c r="I47" i="6" s="1"/>
  <c r="C319" i="6"/>
  <c r="I319" i="6" s="1"/>
  <c r="C151" i="6"/>
  <c r="I151" i="6" s="1"/>
  <c r="C195" i="6"/>
  <c r="I195" i="6" s="1"/>
  <c r="C238" i="6"/>
  <c r="I238" i="6" s="1"/>
  <c r="C361" i="6"/>
  <c r="I361" i="6" s="1"/>
  <c r="C171" i="6"/>
  <c r="I171" i="6" s="1"/>
  <c r="C96" i="6"/>
  <c r="I96" i="6" s="1"/>
  <c r="C67" i="6"/>
  <c r="I67" i="6" s="1"/>
  <c r="C130" i="6"/>
  <c r="I130" i="6" s="1"/>
  <c r="C216" i="6"/>
  <c r="I216" i="6" s="1"/>
  <c r="C347" i="6"/>
  <c r="I347" i="6" s="1"/>
  <c r="C244" i="6"/>
  <c r="I244" i="6" s="1"/>
  <c r="C298" i="6"/>
  <c r="I298" i="6" s="1"/>
  <c r="C335" i="6"/>
  <c r="I335" i="6" s="1"/>
  <c r="C341" i="6"/>
  <c r="I341" i="6" s="1"/>
  <c r="C260" i="6"/>
  <c r="I260" i="6" s="1"/>
  <c r="C303" i="6"/>
  <c r="I303" i="6" s="1"/>
  <c r="C88" i="6"/>
  <c r="I88" i="6" s="1"/>
  <c r="C250" i="6"/>
  <c r="I250" i="6" s="1"/>
  <c r="C175" i="6"/>
  <c r="I175" i="6" s="1"/>
  <c r="C131" i="6"/>
  <c r="I131" i="6" s="1"/>
  <c r="C193" i="6"/>
  <c r="I193" i="6" s="1"/>
  <c r="C322" i="6"/>
  <c r="I322" i="6" s="1"/>
  <c r="C239" i="6"/>
  <c r="I239" i="6" s="1"/>
  <c r="C168" i="6"/>
  <c r="I168" i="6" s="1"/>
  <c r="C231" i="6"/>
  <c r="I231" i="6" s="1"/>
  <c r="C211" i="6"/>
  <c r="I211" i="6" s="1"/>
  <c r="C286" i="6"/>
  <c r="I286" i="6" s="1"/>
  <c r="C115" i="6"/>
  <c r="I115" i="6" s="1"/>
  <c r="C240" i="6"/>
  <c r="I240" i="6" s="1"/>
  <c r="C56" i="6"/>
  <c r="I56" i="6" s="1"/>
  <c r="C136" i="6"/>
  <c r="I136" i="6" s="1"/>
  <c r="C349" i="6"/>
  <c r="I349" i="6" s="1"/>
  <c r="C60" i="6"/>
  <c r="I60" i="6" s="1"/>
  <c r="C295" i="6"/>
  <c r="I295" i="6" s="1"/>
  <c r="C355" i="6"/>
  <c r="I355" i="6" s="1"/>
  <c r="C83" i="6"/>
  <c r="I83" i="6" s="1"/>
  <c r="C331" i="6"/>
  <c r="I331" i="6" s="1"/>
  <c r="C139" i="6"/>
  <c r="I139" i="6" s="1"/>
  <c r="C321" i="6"/>
  <c r="I321" i="6" s="1"/>
  <c r="C140" i="6"/>
  <c r="I140" i="6" s="1"/>
  <c r="C82" i="6"/>
  <c r="I82" i="6" s="1"/>
  <c r="C241" i="6"/>
  <c r="I241" i="6" s="1"/>
  <c r="C352" i="6"/>
  <c r="I352" i="6" s="1"/>
  <c r="C62" i="6"/>
  <c r="I62" i="6" s="1"/>
  <c r="C318" i="6"/>
  <c r="I318" i="6" s="1"/>
  <c r="C217" i="6"/>
  <c r="I217" i="6" s="1"/>
  <c r="C263" i="6"/>
  <c r="I263" i="6" s="1"/>
  <c r="C100" i="6"/>
  <c r="I100" i="6" s="1"/>
  <c r="C307" i="6"/>
  <c r="I307" i="6" s="1"/>
  <c r="C351" i="6"/>
  <c r="I351" i="6" s="1"/>
  <c r="C102" i="6"/>
  <c r="I102" i="6" s="1"/>
  <c r="C353" i="6"/>
  <c r="I353" i="6" s="1"/>
  <c r="C92" i="6"/>
  <c r="I92" i="6" s="1"/>
  <c r="C34" i="6"/>
  <c r="I34" i="6" s="1"/>
  <c r="C177" i="6"/>
  <c r="I177" i="6" s="1"/>
  <c r="C134" i="6"/>
  <c r="I134" i="6" s="1"/>
  <c r="C172" i="6"/>
  <c r="I172" i="6" s="1"/>
  <c r="C280" i="6"/>
  <c r="I280" i="6" s="1"/>
  <c r="C153" i="6"/>
  <c r="I153" i="6" s="1"/>
  <c r="C330" i="6"/>
  <c r="I330" i="6" s="1"/>
  <c r="C80" i="6"/>
  <c r="I80" i="6" s="1"/>
  <c r="C206" i="6"/>
  <c r="I206" i="6" s="1"/>
  <c r="C19" i="6"/>
  <c r="I19" i="6" s="1"/>
  <c r="C205" i="6"/>
  <c r="I205" i="6" s="1"/>
  <c r="C274" i="6"/>
  <c r="I274" i="6" s="1"/>
  <c r="C251" i="6"/>
  <c r="I251" i="6" s="1"/>
  <c r="C108" i="6"/>
  <c r="I108" i="6" s="1"/>
  <c r="C277" i="6"/>
  <c r="I277" i="6" s="1"/>
  <c r="C364" i="6"/>
  <c r="I364" i="6" s="1"/>
  <c r="C61" i="6"/>
  <c r="I61" i="6" s="1"/>
  <c r="C160" i="6"/>
  <c r="I160" i="6" s="1"/>
  <c r="C181" i="6"/>
  <c r="I181" i="6" s="1"/>
  <c r="C111" i="6"/>
  <c r="I111" i="6" s="1"/>
  <c r="C197" i="6"/>
  <c r="I197" i="6" s="1"/>
  <c r="C66" i="6"/>
  <c r="I66" i="6" s="1"/>
  <c r="C97" i="6"/>
  <c r="I97" i="6" s="1"/>
  <c r="C126" i="6"/>
  <c r="I126" i="6" s="1"/>
  <c r="C287" i="6"/>
  <c r="I287" i="6" s="1"/>
  <c r="C24" i="6"/>
  <c r="I24" i="6" s="1"/>
  <c r="C229" i="6"/>
  <c r="I229" i="6" s="1"/>
  <c r="C289" i="6"/>
  <c r="I289" i="6" s="1"/>
  <c r="C253" i="6"/>
  <c r="I253" i="6" s="1"/>
  <c r="C65" i="6"/>
  <c r="I65" i="6" s="1"/>
  <c r="C284" i="6"/>
  <c r="I284" i="6" s="1"/>
  <c r="C166" i="6"/>
  <c r="I166" i="6" s="1"/>
  <c r="C106" i="6"/>
  <c r="I106" i="6" s="1"/>
  <c r="C71" i="6"/>
  <c r="I71" i="6" s="1"/>
  <c r="C36" i="6"/>
  <c r="I36" i="6" s="1"/>
  <c r="C252" i="6"/>
  <c r="I252" i="6" s="1"/>
  <c r="C26" i="6"/>
  <c r="I26" i="6" s="1"/>
  <c r="C37" i="6"/>
  <c r="I37" i="6" s="1"/>
  <c r="C313" i="6"/>
  <c r="I313" i="6" s="1"/>
  <c r="C30" i="6"/>
  <c r="I30" i="6" s="1"/>
  <c r="C89" i="6"/>
  <c r="I89" i="6" s="1"/>
  <c r="C249" i="6"/>
  <c r="I249" i="6" s="1"/>
  <c r="C73" i="6"/>
  <c r="I73" i="6" s="1"/>
  <c r="C101" i="6"/>
  <c r="I101" i="6" s="1"/>
  <c r="C293" i="6"/>
  <c r="I293" i="6" s="1"/>
  <c r="C183" i="6"/>
  <c r="I183" i="6" s="1"/>
  <c r="C113" i="6"/>
  <c r="I113" i="6" s="1"/>
  <c r="C169" i="6"/>
  <c r="I169" i="6" s="1"/>
  <c r="C276" i="6"/>
  <c r="I276" i="6" s="1"/>
  <c r="C57" i="6"/>
  <c r="I57" i="6" s="1"/>
  <c r="C201" i="6"/>
  <c r="I201" i="6" s="1"/>
  <c r="C142" i="6"/>
  <c r="I142" i="6" s="1"/>
  <c r="C372" i="6"/>
  <c r="I372" i="6" s="1"/>
  <c r="C137" i="6"/>
  <c r="I137" i="6" s="1"/>
  <c r="C297" i="6"/>
  <c r="I297" i="6" s="1"/>
  <c r="C110" i="6"/>
  <c r="I110" i="6" s="1"/>
  <c r="C290" i="6"/>
  <c r="I290" i="6" s="1"/>
  <c r="C234" i="6"/>
  <c r="I234" i="6" s="1"/>
  <c r="C53" i="6"/>
  <c r="I53" i="6" s="1"/>
  <c r="C203" i="6"/>
  <c r="I203" i="6" s="1"/>
  <c r="C371" i="6"/>
  <c r="I371" i="6" s="1"/>
  <c r="C312" i="6"/>
  <c r="I312" i="6" s="1"/>
  <c r="C247" i="6"/>
  <c r="I247" i="6" s="1"/>
  <c r="C149" i="6"/>
  <c r="I149" i="6" s="1"/>
  <c r="C81" i="6"/>
  <c r="I81" i="6" s="1"/>
  <c r="C317" i="6"/>
  <c r="I317" i="6" s="1"/>
  <c r="C99" i="6"/>
  <c r="I99" i="6" s="1"/>
  <c r="C78" i="6"/>
  <c r="I78" i="6" s="1"/>
  <c r="C275" i="6"/>
  <c r="I275" i="6" s="1"/>
  <c r="C343" i="6"/>
  <c r="I343" i="6" s="1"/>
  <c r="C185" i="6"/>
  <c r="I185" i="6" s="1"/>
  <c r="C20" i="6"/>
  <c r="I20" i="6" s="1"/>
  <c r="C52" i="6"/>
  <c r="I52" i="6" s="1"/>
  <c r="C268" i="6"/>
  <c r="I268" i="6" s="1"/>
  <c r="C291" i="6"/>
  <c r="I291" i="6" s="1"/>
  <c r="C32" i="6"/>
  <c r="I32" i="6" s="1"/>
  <c r="C114" i="6"/>
  <c r="I114" i="6" s="1"/>
  <c r="C143" i="6"/>
  <c r="I143" i="6" s="1"/>
  <c r="C359" i="6"/>
  <c r="I359" i="6" s="1"/>
  <c r="C156" i="6"/>
  <c r="I156" i="6" s="1"/>
  <c r="C91" i="6"/>
  <c r="I91" i="6" s="1"/>
  <c r="C41" i="6"/>
  <c r="I41" i="6" s="1"/>
  <c r="C154" i="6"/>
  <c r="I154" i="6" s="1"/>
  <c r="C146" i="6"/>
  <c r="I146" i="6" s="1"/>
  <c r="C87" i="6"/>
  <c r="I87" i="6" s="1"/>
  <c r="C189" i="6"/>
  <c r="I189" i="6" s="1"/>
  <c r="C294" i="6"/>
  <c r="I294" i="6" s="1"/>
  <c r="C178" i="6"/>
  <c r="I178" i="6" s="1"/>
  <c r="C228" i="6"/>
  <c r="I228" i="6" s="1"/>
  <c r="C64" i="6"/>
  <c r="I64" i="6" s="1"/>
  <c r="C163" i="6"/>
  <c r="I163" i="6" s="1"/>
  <c r="C360" i="6"/>
  <c r="I360" i="6" s="1"/>
  <c r="C25" i="6"/>
  <c r="I25" i="6" s="1"/>
  <c r="C245" i="6"/>
  <c r="I245" i="6" s="1"/>
  <c r="C112" i="6"/>
  <c r="I112" i="6" s="1"/>
  <c r="C325" i="6"/>
  <c r="I325" i="6" s="1"/>
  <c r="C306" i="6"/>
  <c r="I306" i="6" s="1"/>
  <c r="C269" i="6"/>
  <c r="I269" i="6" s="1"/>
  <c r="C144" i="6"/>
  <c r="I144" i="6" s="1"/>
  <c r="C300" i="6"/>
  <c r="I300" i="6" s="1"/>
  <c r="C235" i="6"/>
  <c r="I235" i="6" s="1"/>
  <c r="C58" i="6"/>
  <c r="I58" i="6" s="1"/>
  <c r="C35" i="6"/>
  <c r="I35" i="6" s="1"/>
  <c r="C362" i="6"/>
  <c r="I362" i="6" s="1"/>
  <c r="C190" i="6"/>
  <c r="I190" i="6" s="1"/>
  <c r="C182" i="6"/>
  <c r="I182" i="6" s="1"/>
  <c r="C45" i="6"/>
  <c r="I45" i="6" s="1"/>
  <c r="C127" i="6"/>
  <c r="I127" i="6" s="1"/>
  <c r="C199" i="6"/>
  <c r="I199" i="6" s="1"/>
  <c r="C186" i="6"/>
  <c r="I186" i="6" s="1"/>
  <c r="C120" i="6"/>
  <c r="I120" i="6" s="1"/>
  <c r="C314" i="6"/>
  <c r="I314" i="6" s="1"/>
  <c r="C299" i="6"/>
  <c r="I299" i="6" s="1"/>
  <c r="C192" i="6"/>
  <c r="I192" i="6" s="1"/>
  <c r="C174" i="6"/>
  <c r="I174" i="6" s="1"/>
  <c r="C124" i="6"/>
  <c r="I124" i="6" s="1"/>
  <c r="C340" i="6"/>
  <c r="I340" i="6" s="1"/>
  <c r="C261" i="6"/>
  <c r="I261" i="6" s="1"/>
  <c r="C288" i="6"/>
  <c r="I288" i="6" s="1"/>
  <c r="C79" i="6"/>
  <c r="I79" i="6" s="1"/>
  <c r="C22" i="6"/>
  <c r="I22" i="6" s="1"/>
  <c r="C214" i="6"/>
  <c r="I214" i="6" s="1"/>
  <c r="C311" i="6"/>
  <c r="I311" i="6" s="1"/>
  <c r="C219" i="6"/>
  <c r="I219" i="6" s="1"/>
  <c r="C119" i="6"/>
  <c r="I119" i="6" s="1"/>
  <c r="C255" i="6"/>
  <c r="I255" i="6" s="1"/>
  <c r="C116" i="6"/>
  <c r="I116" i="6" s="1"/>
  <c r="C258" i="6"/>
  <c r="I258" i="6" s="1"/>
  <c r="C42" i="6"/>
  <c r="I42" i="6" s="1"/>
  <c r="C332" i="6"/>
  <c r="I332" i="6" s="1"/>
  <c r="C259" i="6"/>
  <c r="I259" i="6" s="1"/>
  <c r="C128" i="6"/>
  <c r="I128" i="6" s="1"/>
  <c r="C207" i="6"/>
  <c r="I207" i="6" s="1"/>
  <c r="C333" i="6"/>
  <c r="I333" i="6" s="1"/>
  <c r="C150" i="6"/>
  <c r="I150" i="6" s="1"/>
  <c r="C339" i="6"/>
  <c r="I339" i="6" s="1"/>
  <c r="C302" i="6"/>
  <c r="I302" i="6" s="1"/>
  <c r="C68" i="6"/>
  <c r="I68" i="6" s="1"/>
  <c r="C157" i="6"/>
  <c r="I157" i="6" s="1"/>
  <c r="C77" i="6"/>
  <c r="I77" i="6" s="1"/>
  <c r="C292" i="6"/>
  <c r="I292" i="6" s="1"/>
  <c r="C133" i="6"/>
  <c r="I133" i="6" s="1"/>
  <c r="C301" i="6"/>
  <c r="I301" i="6" s="1"/>
  <c r="C254" i="6"/>
  <c r="I254" i="6" s="1"/>
  <c r="C84" i="6"/>
  <c r="I84" i="6" s="1"/>
  <c r="C159" i="6"/>
  <c r="I159" i="6" s="1"/>
  <c r="C257" i="6"/>
  <c r="I257" i="6" s="1"/>
  <c r="C222" i="6"/>
  <c r="I222" i="6" s="1"/>
  <c r="C155" i="6"/>
  <c r="I155" i="6" s="1"/>
  <c r="C305" i="6"/>
  <c r="I305" i="6" s="1"/>
  <c r="C273" i="6"/>
  <c r="I273" i="6" s="1"/>
  <c r="C76" i="6"/>
  <c r="I76" i="6" s="1"/>
  <c r="C138" i="6"/>
  <c r="I138" i="6" s="1"/>
  <c r="C226" i="6"/>
  <c r="I226" i="6" s="1"/>
  <c r="C283" i="6"/>
  <c r="I283" i="6" s="1"/>
  <c r="C145" i="6"/>
  <c r="I145" i="6" s="1"/>
  <c r="C148" i="6"/>
  <c r="I148" i="6" s="1"/>
  <c r="C200" i="6"/>
  <c r="I200" i="6" s="1"/>
  <c r="C246" i="6"/>
  <c r="I246" i="6" s="1"/>
  <c r="C224" i="6"/>
  <c r="I224" i="6" s="1"/>
  <c r="C109" i="6"/>
  <c r="I109" i="6" s="1"/>
  <c r="C329" i="6"/>
  <c r="I329" i="6" s="1"/>
  <c r="C265" i="6"/>
  <c r="I265" i="6" s="1"/>
  <c r="C225" i="6"/>
  <c r="I225" i="6" s="1"/>
  <c r="C209" i="6"/>
  <c r="I209" i="6" s="1"/>
  <c r="C164" i="6"/>
  <c r="I164" i="6" s="1"/>
  <c r="C16" i="6"/>
  <c r="I16" i="6" s="1"/>
  <c r="C266" i="6"/>
  <c r="I266" i="6" s="1"/>
  <c r="C358" i="6"/>
  <c r="I358" i="6" s="1"/>
  <c r="C27" i="6"/>
  <c r="I27" i="6" s="1"/>
  <c r="C55" i="6"/>
  <c r="I55" i="6" s="1"/>
  <c r="C237" i="6"/>
  <c r="I237" i="6" s="1"/>
  <c r="C173" i="6"/>
  <c r="I173" i="6" s="1"/>
  <c r="C309" i="6"/>
  <c r="I309" i="6" s="1"/>
  <c r="C23" i="6"/>
  <c r="I23" i="6" s="1"/>
  <c r="C271" i="6"/>
  <c r="I271" i="6" s="1"/>
  <c r="C170" i="6"/>
  <c r="I170" i="6" s="1"/>
  <c r="C165" i="6"/>
  <c r="I165" i="6" s="1"/>
  <c r="C194" i="6"/>
  <c r="I194" i="6" s="1"/>
  <c r="C373" i="6"/>
  <c r="I373" i="6" s="1"/>
  <c r="C191" i="6"/>
  <c r="I191" i="6" s="1"/>
  <c r="C141" i="6"/>
  <c r="I141" i="6" s="1"/>
  <c r="C39" i="6"/>
  <c r="I39" i="6" s="1"/>
  <c r="C202" i="6"/>
  <c r="I202" i="6" s="1"/>
  <c r="C198" i="6"/>
  <c r="I198" i="6" s="1"/>
  <c r="C18" i="6"/>
  <c r="I18" i="6" s="1"/>
  <c r="C221" i="6"/>
  <c r="I221" i="6" s="1"/>
  <c r="C230" i="6"/>
  <c r="I230" i="6" s="1"/>
  <c r="C90" i="6"/>
  <c r="I90" i="6" s="1"/>
  <c r="C43" i="6"/>
  <c r="I43" i="6" s="1"/>
  <c r="C348" i="6"/>
  <c r="I348" i="6" s="1"/>
  <c r="C365" i="6"/>
  <c r="I365" i="6" s="1"/>
  <c r="C135" i="6"/>
  <c r="I135" i="6" s="1"/>
  <c r="C28" i="6"/>
  <c r="I28" i="6" s="1"/>
  <c r="C243" i="6"/>
  <c r="I243" i="6" s="1"/>
  <c r="C236" i="6"/>
  <c r="I236" i="6" s="1"/>
  <c r="C357" i="6"/>
  <c r="I357" i="6" s="1"/>
  <c r="C86" i="6"/>
  <c r="I86" i="6" s="1"/>
  <c r="C93" i="6"/>
  <c r="I93" i="6" s="1"/>
  <c r="C218" i="6"/>
  <c r="I218" i="6" s="1"/>
  <c r="C326" i="6"/>
  <c r="I326" i="6" s="1"/>
  <c r="C281" i="6"/>
  <c r="I281" i="6" s="1"/>
  <c r="C316" i="6"/>
  <c r="I316" i="6" s="1"/>
  <c r="C176" i="6"/>
  <c r="I176" i="6" s="1"/>
  <c r="C48" i="6"/>
  <c r="I48" i="6" s="1"/>
  <c r="C272" i="6"/>
  <c r="I272" i="6" s="1"/>
  <c r="C179" i="6"/>
  <c r="I179" i="6" s="1"/>
  <c r="C196" i="6"/>
  <c r="I196" i="6" s="1"/>
  <c r="C350" i="6"/>
  <c r="I350" i="6" s="1"/>
  <c r="C125" i="6"/>
  <c r="I125" i="6" s="1"/>
  <c r="C327" i="6"/>
  <c r="I327" i="6" s="1"/>
  <c r="C334" i="6"/>
  <c r="I334" i="6" s="1"/>
  <c r="C346" i="6"/>
  <c r="I346" i="6" s="1"/>
  <c r="C44" i="6"/>
  <c r="I44" i="6" s="1"/>
  <c r="C342" i="6"/>
  <c r="I342" i="6" s="1"/>
  <c r="C356" i="6"/>
  <c r="I356" i="6" s="1"/>
  <c r="C147" i="6"/>
  <c r="I147" i="6" s="1"/>
  <c r="C69" i="6"/>
  <c r="I69" i="6" s="1"/>
  <c r="C122" i="6"/>
  <c r="I122" i="6" s="1"/>
  <c r="C374" i="6"/>
  <c r="I374" i="6" s="1"/>
  <c r="C158" i="6"/>
  <c r="I158" i="6" s="1"/>
  <c r="C121" i="6"/>
  <c r="I121" i="6" s="1"/>
  <c r="C29" i="6"/>
  <c r="I29" i="6" s="1"/>
  <c r="C279" i="6"/>
  <c r="I279" i="6" s="1"/>
  <c r="C123" i="6"/>
  <c r="I123" i="6" s="1"/>
  <c r="C285" i="6"/>
  <c r="I285" i="6" s="1"/>
  <c r="C264" i="6"/>
  <c r="I264" i="6" s="1"/>
  <c r="C212" i="6"/>
  <c r="I212" i="6" s="1"/>
  <c r="C132" i="6"/>
  <c r="I132" i="6" s="1"/>
  <c r="C233" i="6"/>
  <c r="I233" i="6" s="1"/>
  <c r="C369" i="6"/>
  <c r="I369" i="6" s="1"/>
  <c r="C70" i="6"/>
  <c r="I70" i="6" s="1"/>
  <c r="C105" i="6"/>
  <c r="I105" i="6" s="1"/>
  <c r="C72" i="6"/>
  <c r="I72" i="6" s="1"/>
  <c r="C336" i="6"/>
  <c r="I336" i="6" s="1"/>
  <c r="C74" i="6"/>
  <c r="I74" i="6" s="1"/>
  <c r="C320" i="6"/>
  <c r="I320" i="6" s="1"/>
  <c r="C51" i="6"/>
  <c r="I51" i="6" s="1"/>
  <c r="C33" i="6"/>
  <c r="I33" i="6" s="1"/>
  <c r="C337" i="6"/>
  <c r="I337" i="6" s="1"/>
  <c r="C50" i="6"/>
  <c r="I50" i="6" s="1"/>
  <c r="C354" i="6"/>
  <c r="I354" i="6" s="1"/>
  <c r="C187" i="6"/>
  <c r="I187" i="6" s="1"/>
  <c r="C117" i="6"/>
  <c r="I117" i="6" s="1"/>
  <c r="C46" i="6"/>
  <c r="I46" i="6" s="1"/>
  <c r="C344" i="6"/>
  <c r="I344" i="6" s="1"/>
  <c r="C338" i="6"/>
  <c r="I338" i="6" s="1"/>
  <c r="E15" i="3"/>
  <c r="C14" i="8"/>
  <c r="M12" i="8"/>
  <c r="F14" i="8"/>
  <c r="F35" i="2"/>
  <c r="F16" i="2"/>
  <c r="H13" i="7"/>
  <c r="F22" i="2"/>
  <c r="F33" i="2"/>
  <c r="F21" i="2"/>
  <c r="F32" i="2"/>
  <c r="F18" i="2"/>
  <c r="F27" i="2"/>
  <c r="F41" i="2"/>
  <c r="F26" i="2"/>
  <c r="F29" i="2"/>
  <c r="F25" i="2"/>
  <c r="F17" i="2"/>
  <c r="F24" i="2"/>
  <c r="F40" i="2"/>
  <c r="F34" i="2"/>
  <c r="F23" i="2"/>
  <c r="F28" i="2"/>
  <c r="E14" i="7"/>
  <c r="F15" i="2"/>
  <c r="G15" i="2" s="1"/>
  <c r="F43" i="2"/>
  <c r="F39" i="2"/>
  <c r="F31" i="2"/>
  <c r="J14" i="2"/>
  <c r="F20" i="2"/>
  <c r="F38" i="2"/>
  <c r="F19" i="2"/>
  <c r="F42" i="2"/>
  <c r="F37" i="2"/>
  <c r="F36" i="2"/>
  <c r="F30" i="2"/>
  <c r="C14" i="2"/>
  <c r="D14" i="2" s="1"/>
  <c r="E15" i="2"/>
  <c r="K22" i="19" l="1"/>
  <c r="O64" i="6"/>
  <c r="O70" i="6"/>
  <c r="O73" i="6"/>
  <c r="O68" i="6"/>
  <c r="O65" i="6"/>
  <c r="O63" i="6"/>
  <c r="O72" i="6"/>
  <c r="O62" i="6"/>
  <c r="O71" i="6"/>
  <c r="O67" i="6"/>
  <c r="O69" i="6"/>
  <c r="O66" i="6"/>
  <c r="J14" i="13"/>
  <c r="C17" i="19"/>
  <c r="C14" i="13"/>
  <c r="K18" i="13"/>
  <c r="P80" i="6"/>
  <c r="P84" i="6"/>
  <c r="P77" i="6"/>
  <c r="P83" i="6"/>
  <c r="P78" i="6"/>
  <c r="P81" i="6"/>
  <c r="P76" i="6"/>
  <c r="P74" i="6"/>
  <c r="P79" i="6"/>
  <c r="P82" i="6"/>
  <c r="P75" i="6"/>
  <c r="P85" i="6"/>
  <c r="I15" i="6"/>
  <c r="J25" i="6" s="1"/>
  <c r="K25" i="6" s="1"/>
  <c r="L25" i="6" s="1"/>
  <c r="Q25" i="6" s="1"/>
  <c r="S48" i="13"/>
  <c r="P48" i="13" s="1"/>
  <c r="E15" i="13"/>
  <c r="E15" i="6"/>
  <c r="F15" i="6" s="1"/>
  <c r="D16" i="6" s="1"/>
  <c r="E16" i="6" s="1"/>
  <c r="F16" i="6" s="1"/>
  <c r="D17" i="6" s="1"/>
  <c r="C6" i="6"/>
  <c r="P39" i="9" s="1"/>
  <c r="E16" i="3"/>
  <c r="F45" i="2"/>
  <c r="D15" i="8"/>
  <c r="F15" i="8"/>
  <c r="C15" i="2"/>
  <c r="D15" i="2" s="1"/>
  <c r="F14" i="7"/>
  <c r="D15" i="7" s="1"/>
  <c r="E16" i="2"/>
  <c r="C16" i="2" s="1"/>
  <c r="D16" i="2" s="1"/>
  <c r="G16" i="2"/>
  <c r="K23" i="19" l="1"/>
  <c r="O76" i="6"/>
  <c r="O82" i="6"/>
  <c r="O85" i="6"/>
  <c r="O80" i="6"/>
  <c r="O77" i="6"/>
  <c r="O79" i="6"/>
  <c r="O81" i="6"/>
  <c r="O74" i="6"/>
  <c r="O83" i="6"/>
  <c r="O75" i="6"/>
  <c r="O84" i="6"/>
  <c r="O78" i="6"/>
  <c r="J15" i="13"/>
  <c r="C18" i="19"/>
  <c r="C15" i="13"/>
  <c r="K19" i="13"/>
  <c r="P93" i="6"/>
  <c r="P94" i="6"/>
  <c r="P91" i="6"/>
  <c r="P95" i="6"/>
  <c r="P97" i="6"/>
  <c r="P90" i="6"/>
  <c r="P87" i="6"/>
  <c r="P92" i="6"/>
  <c r="P89" i="6"/>
  <c r="P86" i="6"/>
  <c r="P96" i="6"/>
  <c r="P88" i="6"/>
  <c r="J19" i="6"/>
  <c r="K19" i="6" s="1"/>
  <c r="L19" i="6" s="1"/>
  <c r="Q19" i="6" s="1"/>
  <c r="J15" i="6"/>
  <c r="K15" i="6" s="1"/>
  <c r="L15" i="6" s="1"/>
  <c r="J16" i="6"/>
  <c r="K16" i="6" s="1"/>
  <c r="L16" i="6" s="1"/>
  <c r="Q16" i="6" s="1"/>
  <c r="J17" i="6"/>
  <c r="K17" i="6" s="1"/>
  <c r="L17" i="6" s="1"/>
  <c r="Q17" i="6" s="1"/>
  <c r="J20" i="6"/>
  <c r="K20" i="6" s="1"/>
  <c r="L20" i="6" s="1"/>
  <c r="Q20" i="6" s="1"/>
  <c r="J24" i="6"/>
  <c r="K24" i="6" s="1"/>
  <c r="L24" i="6" s="1"/>
  <c r="Q24" i="6" s="1"/>
  <c r="J21" i="6"/>
  <c r="K21" i="6" s="1"/>
  <c r="L21" i="6" s="1"/>
  <c r="Q21" i="6" s="1"/>
  <c r="J22" i="6"/>
  <c r="K22" i="6" s="1"/>
  <c r="L22" i="6" s="1"/>
  <c r="Q22" i="6" s="1"/>
  <c r="J23" i="6"/>
  <c r="K23" i="6" s="1"/>
  <c r="L23" i="6" s="1"/>
  <c r="Q23" i="6" s="1"/>
  <c r="J18" i="6"/>
  <c r="K18" i="6" s="1"/>
  <c r="L18" i="6" s="1"/>
  <c r="Q18" i="6" s="1"/>
  <c r="S49" i="13"/>
  <c r="P49" i="13" s="1"/>
  <c r="E16" i="13"/>
  <c r="E17" i="6"/>
  <c r="E17" i="3"/>
  <c r="C15" i="8"/>
  <c r="H15" i="8" s="1"/>
  <c r="I15" i="8" s="1"/>
  <c r="D16" i="8"/>
  <c r="C16" i="8" s="1"/>
  <c r="F16" i="8"/>
  <c r="I15" i="2"/>
  <c r="J15" i="2" s="1"/>
  <c r="I16" i="2"/>
  <c r="J16" i="2" s="1"/>
  <c r="E17" i="2"/>
  <c r="C17" i="2" s="1"/>
  <c r="D17" i="2" s="1"/>
  <c r="G17" i="2"/>
  <c r="K24" i="19" l="1"/>
  <c r="J16" i="13"/>
  <c r="O88" i="6"/>
  <c r="O94" i="6"/>
  <c r="O97" i="6"/>
  <c r="O92" i="6"/>
  <c r="O89" i="6"/>
  <c r="O86" i="6"/>
  <c r="O91" i="6"/>
  <c r="O87" i="6"/>
  <c r="O90" i="6"/>
  <c r="O95" i="6"/>
  <c r="O93" i="6"/>
  <c r="O96" i="6"/>
  <c r="C16" i="13"/>
  <c r="C19" i="19"/>
  <c r="K20" i="13"/>
  <c r="P109" i="6"/>
  <c r="P100" i="6"/>
  <c r="P107" i="6"/>
  <c r="P103" i="6"/>
  <c r="P105" i="6"/>
  <c r="P99" i="6"/>
  <c r="P98" i="6"/>
  <c r="P102" i="6"/>
  <c r="P101" i="6"/>
  <c r="P108" i="6"/>
  <c r="P104" i="6"/>
  <c r="P106" i="6"/>
  <c r="Q15" i="6"/>
  <c r="E17" i="13"/>
  <c r="F17" i="6"/>
  <c r="E18" i="3"/>
  <c r="H16" i="8"/>
  <c r="I16" i="8" s="1"/>
  <c r="D17" i="8"/>
  <c r="C17" i="8" s="1"/>
  <c r="F17" i="8"/>
  <c r="E15" i="7"/>
  <c r="I17" i="2"/>
  <c r="J17" i="2" s="1"/>
  <c r="E18" i="2"/>
  <c r="C18" i="2" s="1"/>
  <c r="D18" i="2" s="1"/>
  <c r="G18" i="2"/>
  <c r="K25" i="19" l="1"/>
  <c r="O100" i="6"/>
  <c r="O106" i="6"/>
  <c r="O109" i="6"/>
  <c r="O104" i="6"/>
  <c r="O99" i="6"/>
  <c r="O103" i="6"/>
  <c r="O102" i="6"/>
  <c r="O105" i="6"/>
  <c r="O107" i="6"/>
  <c r="O108" i="6"/>
  <c r="O98" i="6"/>
  <c r="O101" i="6"/>
  <c r="J17" i="13"/>
  <c r="C20" i="19"/>
  <c r="C17" i="13"/>
  <c r="K21" i="13"/>
  <c r="P112" i="6"/>
  <c r="P120" i="6"/>
  <c r="P110" i="6"/>
  <c r="P111" i="6"/>
  <c r="P114" i="6"/>
  <c r="P117" i="6"/>
  <c r="P113" i="6"/>
  <c r="P121" i="6"/>
  <c r="P116" i="6"/>
  <c r="P118" i="6"/>
  <c r="P119" i="6"/>
  <c r="P115" i="6"/>
  <c r="E18" i="13"/>
  <c r="D18" i="6"/>
  <c r="E18" i="6" s="1"/>
  <c r="F18" i="6" s="1"/>
  <c r="E19" i="3"/>
  <c r="H17" i="8"/>
  <c r="I17" i="8" s="1"/>
  <c r="D18" i="8"/>
  <c r="F18" i="8"/>
  <c r="F15" i="7"/>
  <c r="I18" i="2"/>
  <c r="J18" i="2" s="1"/>
  <c r="G19" i="2"/>
  <c r="E19" i="2"/>
  <c r="C19" i="2" s="1"/>
  <c r="D19" i="2" s="1"/>
  <c r="K26" i="19" l="1"/>
  <c r="O112" i="6"/>
  <c r="O118" i="6"/>
  <c r="O121" i="6"/>
  <c r="O110" i="6"/>
  <c r="O115" i="6"/>
  <c r="O117" i="6"/>
  <c r="O111" i="6"/>
  <c r="O119" i="6"/>
  <c r="O114" i="6"/>
  <c r="O120" i="6"/>
  <c r="O116" i="6"/>
  <c r="O113" i="6"/>
  <c r="J18" i="13"/>
  <c r="C21" i="19"/>
  <c r="C18" i="13"/>
  <c r="K22" i="13"/>
  <c r="P124" i="6"/>
  <c r="P126" i="6"/>
  <c r="P133" i="6"/>
  <c r="P125" i="6"/>
  <c r="P131" i="6"/>
  <c r="P127" i="6"/>
  <c r="P130" i="6"/>
  <c r="P123" i="6"/>
  <c r="P128" i="6"/>
  <c r="P129" i="6"/>
  <c r="P122" i="6"/>
  <c r="P132" i="6"/>
  <c r="E19" i="13"/>
  <c r="D19" i="6"/>
  <c r="E19" i="6" s="1"/>
  <c r="F19" i="6" s="1"/>
  <c r="E20" i="3"/>
  <c r="C18" i="8"/>
  <c r="D16" i="7"/>
  <c r="E16" i="7" s="1"/>
  <c r="F16" i="7" s="1"/>
  <c r="F19" i="8"/>
  <c r="D19" i="8"/>
  <c r="C19" i="8" s="1"/>
  <c r="I19" i="2"/>
  <c r="J19" i="2" s="1"/>
  <c r="G20" i="2"/>
  <c r="E20" i="2"/>
  <c r="C20" i="2" s="1"/>
  <c r="D20" i="2" s="1"/>
  <c r="K27" i="19" l="1"/>
  <c r="J19" i="13"/>
  <c r="O124" i="6"/>
  <c r="O130" i="6"/>
  <c r="O133" i="6"/>
  <c r="O127" i="6"/>
  <c r="O129" i="6"/>
  <c r="O123" i="6"/>
  <c r="O126" i="6"/>
  <c r="O128" i="6"/>
  <c r="O131" i="6"/>
  <c r="O125" i="6"/>
  <c r="O122" i="6"/>
  <c r="O132" i="6"/>
  <c r="C22" i="19"/>
  <c r="C19" i="13"/>
  <c r="K23" i="13"/>
  <c r="P139" i="6"/>
  <c r="P141" i="6"/>
  <c r="P143" i="6"/>
  <c r="P144" i="6"/>
  <c r="P136" i="6"/>
  <c r="P140" i="6"/>
  <c r="P137" i="6"/>
  <c r="P134" i="6"/>
  <c r="P135" i="6"/>
  <c r="P145" i="6"/>
  <c r="P138" i="6"/>
  <c r="P142" i="6"/>
  <c r="E20" i="13"/>
  <c r="D20" i="6"/>
  <c r="E20" i="6" s="1"/>
  <c r="F20" i="6" s="1"/>
  <c r="E21" i="3"/>
  <c r="H19" i="8"/>
  <c r="I19" i="8" s="1"/>
  <c r="H18" i="8"/>
  <c r="I18" i="8" s="1"/>
  <c r="D17" i="7"/>
  <c r="E17" i="7" s="1"/>
  <c r="F17" i="7" s="1"/>
  <c r="D18" i="7" s="1"/>
  <c r="E18" i="7" s="1"/>
  <c r="F18" i="7" s="1"/>
  <c r="D20" i="8"/>
  <c r="C20" i="8" s="1"/>
  <c r="F20" i="8"/>
  <c r="G21" i="2"/>
  <c r="E21" i="2"/>
  <c r="C21" i="2" s="1"/>
  <c r="D21" i="2" s="1"/>
  <c r="I20" i="2"/>
  <c r="J20" i="2" s="1"/>
  <c r="K28" i="19" l="1"/>
  <c r="J20" i="13"/>
  <c r="O136" i="6"/>
  <c r="O142" i="6"/>
  <c r="O145" i="6"/>
  <c r="O139" i="6"/>
  <c r="O135" i="6"/>
  <c r="O138" i="6"/>
  <c r="O137" i="6"/>
  <c r="O141" i="6"/>
  <c r="O140" i="6"/>
  <c r="O144" i="6"/>
  <c r="O134" i="6"/>
  <c r="O143" i="6"/>
  <c r="C20" i="13"/>
  <c r="C23" i="19"/>
  <c r="K24" i="13"/>
  <c r="P147" i="6"/>
  <c r="P152" i="6"/>
  <c r="P157" i="6"/>
  <c r="P150" i="6"/>
  <c r="P146" i="6"/>
  <c r="P155" i="6"/>
  <c r="P151" i="6"/>
  <c r="P156" i="6"/>
  <c r="P154" i="6"/>
  <c r="P153" i="6"/>
  <c r="P149" i="6"/>
  <c r="P148" i="6"/>
  <c r="E21" i="13"/>
  <c r="D21" i="6"/>
  <c r="E21" i="6" s="1"/>
  <c r="F21" i="6" s="1"/>
  <c r="E22" i="3"/>
  <c r="H20" i="8"/>
  <c r="I20" i="8" s="1"/>
  <c r="D19" i="7"/>
  <c r="E19" i="7" s="1"/>
  <c r="F19" i="7" s="1"/>
  <c r="D20" i="7" s="1"/>
  <c r="E20" i="7" s="1"/>
  <c r="F20" i="7" s="1"/>
  <c r="D21" i="7" s="1"/>
  <c r="E21" i="7" s="1"/>
  <c r="F21" i="7" s="1"/>
  <c r="F21" i="8"/>
  <c r="D21" i="8"/>
  <c r="C21" i="8" s="1"/>
  <c r="H21" i="8" s="1"/>
  <c r="I21" i="8" s="1"/>
  <c r="G22" i="2"/>
  <c r="E22" i="2"/>
  <c r="C22" i="2" s="1"/>
  <c r="D22" i="2" s="1"/>
  <c r="I21" i="2"/>
  <c r="J21" i="2" s="1"/>
  <c r="K29" i="19" l="1"/>
  <c r="J21" i="13"/>
  <c r="O148" i="6"/>
  <c r="O154" i="6"/>
  <c r="O157" i="6"/>
  <c r="O151" i="6"/>
  <c r="O147" i="6"/>
  <c r="O150" i="6"/>
  <c r="O146" i="6"/>
  <c r="O153" i="6"/>
  <c r="O152" i="6"/>
  <c r="O149" i="6"/>
  <c r="O156" i="6"/>
  <c r="O155" i="6"/>
  <c r="C24" i="19"/>
  <c r="C21" i="13"/>
  <c r="K25" i="13"/>
  <c r="P166" i="6"/>
  <c r="P164" i="6"/>
  <c r="P160" i="6"/>
  <c r="P167" i="6"/>
  <c r="P168" i="6"/>
  <c r="P169" i="6"/>
  <c r="P159" i="6"/>
  <c r="P162" i="6"/>
  <c r="P158" i="6"/>
  <c r="P161" i="6"/>
  <c r="P165" i="6"/>
  <c r="P163" i="6"/>
  <c r="E22" i="13"/>
  <c r="D22" i="6"/>
  <c r="E22" i="6" s="1"/>
  <c r="F22" i="6" s="1"/>
  <c r="E23" i="3"/>
  <c r="D22" i="7"/>
  <c r="E22" i="7" s="1"/>
  <c r="F22" i="7" s="1"/>
  <c r="D23" i="7" s="1"/>
  <c r="E23" i="7" s="1"/>
  <c r="F23" i="7" s="1"/>
  <c r="D22" i="8"/>
  <c r="C22" i="8" s="1"/>
  <c r="F22" i="8"/>
  <c r="G23" i="2"/>
  <c r="E23" i="2"/>
  <c r="C23" i="2" s="1"/>
  <c r="D23" i="2" s="1"/>
  <c r="I22" i="2"/>
  <c r="J22" i="2" s="1"/>
  <c r="K30" i="19" l="1"/>
  <c r="J22" i="13"/>
  <c r="O160" i="6"/>
  <c r="O166" i="6"/>
  <c r="O169" i="6"/>
  <c r="O163" i="6"/>
  <c r="O162" i="6"/>
  <c r="O164" i="6"/>
  <c r="O161" i="6"/>
  <c r="O168" i="6"/>
  <c r="O158" i="6"/>
  <c r="O165" i="6"/>
  <c r="O167" i="6"/>
  <c r="O159" i="6"/>
  <c r="C25" i="19"/>
  <c r="C22" i="13"/>
  <c r="K26" i="13"/>
  <c r="P180" i="6"/>
  <c r="P178" i="6"/>
  <c r="P177" i="6"/>
  <c r="P173" i="6"/>
  <c r="P174" i="6"/>
  <c r="P175" i="6"/>
  <c r="P172" i="6"/>
  <c r="P176" i="6"/>
  <c r="P179" i="6"/>
  <c r="P181" i="6"/>
  <c r="P170" i="6"/>
  <c r="P171" i="6"/>
  <c r="E23" i="13"/>
  <c r="D23" i="6"/>
  <c r="E23" i="6" s="1"/>
  <c r="F23" i="6" s="1"/>
  <c r="E24" i="3"/>
  <c r="H22" i="8"/>
  <c r="I22" i="8" s="1"/>
  <c r="D24" i="7"/>
  <c r="E24" i="7" s="1"/>
  <c r="F24" i="7" s="1"/>
  <c r="F23" i="8"/>
  <c r="D23" i="8"/>
  <c r="C23" i="8" s="1"/>
  <c r="I23" i="2"/>
  <c r="J23" i="2" s="1"/>
  <c r="G24" i="2"/>
  <c r="E24" i="2"/>
  <c r="C24" i="2" s="1"/>
  <c r="D24" i="2" s="1"/>
  <c r="K31" i="19" l="1"/>
  <c r="J23" i="13"/>
  <c r="O172" i="6"/>
  <c r="O178" i="6"/>
  <c r="O181" i="6"/>
  <c r="O171" i="6"/>
  <c r="O180" i="6"/>
  <c r="O176" i="6"/>
  <c r="O173" i="6"/>
  <c r="O170" i="6"/>
  <c r="O179" i="6"/>
  <c r="O174" i="6"/>
  <c r="O175" i="6"/>
  <c r="O177" i="6"/>
  <c r="C26" i="19"/>
  <c r="C23" i="13"/>
  <c r="K27" i="13"/>
  <c r="P187" i="6"/>
  <c r="P186" i="6"/>
  <c r="P192" i="6"/>
  <c r="P182" i="6"/>
  <c r="P183" i="6"/>
  <c r="P191" i="6"/>
  <c r="P185" i="6"/>
  <c r="P193" i="6"/>
  <c r="P190" i="6"/>
  <c r="P184" i="6"/>
  <c r="P189" i="6"/>
  <c r="P188" i="6"/>
  <c r="E24" i="13"/>
  <c r="D24" i="6"/>
  <c r="E24" i="6" s="1"/>
  <c r="F24" i="6" s="1"/>
  <c r="E25" i="3"/>
  <c r="H23" i="8"/>
  <c r="I23" i="8" s="1"/>
  <c r="D25" i="7"/>
  <c r="E25" i="7" s="1"/>
  <c r="F25" i="7" s="1"/>
  <c r="D26" i="7" s="1"/>
  <c r="E26" i="7" s="1"/>
  <c r="F26" i="7" s="1"/>
  <c r="F24" i="8"/>
  <c r="D24" i="8"/>
  <c r="C24" i="8" s="1"/>
  <c r="G25" i="2"/>
  <c r="E25" i="2"/>
  <c r="C25" i="2" s="1"/>
  <c r="D25" i="2" s="1"/>
  <c r="I24" i="2"/>
  <c r="J24" i="2" s="1"/>
  <c r="K32" i="19" l="1"/>
  <c r="O184" i="6"/>
  <c r="O190" i="6"/>
  <c r="O193" i="6"/>
  <c r="O186" i="6"/>
  <c r="O188" i="6"/>
  <c r="O185" i="6"/>
  <c r="O191" i="6"/>
  <c r="O187" i="6"/>
  <c r="O192" i="6"/>
  <c r="O182" i="6"/>
  <c r="O189" i="6"/>
  <c r="O183" i="6"/>
  <c r="J24" i="13"/>
  <c r="C24" i="13"/>
  <c r="C27" i="19"/>
  <c r="K28" i="13"/>
  <c r="P197" i="6"/>
  <c r="P194" i="6"/>
  <c r="P199" i="6"/>
  <c r="P202" i="6"/>
  <c r="P204" i="6"/>
  <c r="P205" i="6"/>
  <c r="P201" i="6"/>
  <c r="P196" i="6"/>
  <c r="P195" i="6"/>
  <c r="P203" i="6"/>
  <c r="P200" i="6"/>
  <c r="P198" i="6"/>
  <c r="E25" i="13"/>
  <c r="D25" i="6"/>
  <c r="E25" i="6" s="1"/>
  <c r="F25" i="6" s="1"/>
  <c r="F9" i="13" s="1"/>
  <c r="G9" i="13" s="1"/>
  <c r="E13" i="19" s="1"/>
  <c r="E26" i="3"/>
  <c r="H24" i="8"/>
  <c r="I24" i="8" s="1"/>
  <c r="D27" i="7"/>
  <c r="E27" i="7" s="1"/>
  <c r="F27" i="7" s="1"/>
  <c r="D25" i="8"/>
  <c r="C25" i="8" s="1"/>
  <c r="F25" i="8"/>
  <c r="I25" i="2"/>
  <c r="J25" i="2" s="1"/>
  <c r="G26" i="2"/>
  <c r="E26" i="2"/>
  <c r="C26" i="2" s="1"/>
  <c r="D26" i="2" s="1"/>
  <c r="K33" i="19" l="1"/>
  <c r="J25" i="13"/>
  <c r="O196" i="6"/>
  <c r="O202" i="6"/>
  <c r="O205" i="6"/>
  <c r="O198" i="6"/>
  <c r="O200" i="6"/>
  <c r="O197" i="6"/>
  <c r="O204" i="6"/>
  <c r="O194" i="6"/>
  <c r="O199" i="6"/>
  <c r="O201" i="6"/>
  <c r="O195" i="6"/>
  <c r="O203" i="6"/>
  <c r="C25" i="13"/>
  <c r="C28" i="19"/>
  <c r="K29" i="13"/>
  <c r="P206" i="6"/>
  <c r="P217" i="6"/>
  <c r="P214" i="6"/>
  <c r="P212" i="6"/>
  <c r="P211" i="6"/>
  <c r="P209" i="6"/>
  <c r="P207" i="6"/>
  <c r="P208" i="6"/>
  <c r="P216" i="6"/>
  <c r="P215" i="6"/>
  <c r="P210" i="6"/>
  <c r="P213" i="6"/>
  <c r="E26" i="13"/>
  <c r="D26" i="6"/>
  <c r="E26" i="6" s="1"/>
  <c r="F26" i="6" s="1"/>
  <c r="E27" i="3"/>
  <c r="H25" i="8"/>
  <c r="I25" i="8" s="1"/>
  <c r="D28" i="7"/>
  <c r="E28" i="7" s="1"/>
  <c r="F28" i="7" s="1"/>
  <c r="D29" i="7" s="1"/>
  <c r="E29" i="7" s="1"/>
  <c r="F29" i="7" s="1"/>
  <c r="D30" i="7" s="1"/>
  <c r="E30" i="7" s="1"/>
  <c r="F30" i="7" s="1"/>
  <c r="D31" i="7" s="1"/>
  <c r="E31" i="7" s="1"/>
  <c r="F31" i="7" s="1"/>
  <c r="F26" i="8"/>
  <c r="D26" i="8"/>
  <c r="C26" i="8" s="1"/>
  <c r="I26" i="2"/>
  <c r="J26" i="2" s="1"/>
  <c r="G27" i="2"/>
  <c r="E27" i="2"/>
  <c r="C27" i="2" s="1"/>
  <c r="D27" i="2" s="1"/>
  <c r="K34" i="19" l="1"/>
  <c r="J26" i="13"/>
  <c r="O208" i="6"/>
  <c r="O217" i="6"/>
  <c r="O214" i="6"/>
  <c r="O215" i="6"/>
  <c r="O212" i="6"/>
  <c r="O209" i="6"/>
  <c r="O206" i="6"/>
  <c r="O207" i="6"/>
  <c r="O216" i="6"/>
  <c r="O211" i="6"/>
  <c r="O213" i="6"/>
  <c r="O210" i="6"/>
  <c r="C29" i="19"/>
  <c r="C26" i="13"/>
  <c r="K30" i="13"/>
  <c r="P229" i="6"/>
  <c r="P228" i="6"/>
  <c r="P222" i="6"/>
  <c r="P223" i="6"/>
  <c r="P218" i="6"/>
  <c r="P224" i="6"/>
  <c r="P227" i="6"/>
  <c r="P220" i="6"/>
  <c r="P226" i="6"/>
  <c r="P221" i="6"/>
  <c r="P219" i="6"/>
  <c r="P225" i="6"/>
  <c r="E27" i="13"/>
  <c r="D27" i="6"/>
  <c r="E27" i="6" s="1"/>
  <c r="F27" i="6" s="1"/>
  <c r="E28" i="3"/>
  <c r="H26" i="8"/>
  <c r="I26" i="8" s="1"/>
  <c r="F27" i="8"/>
  <c r="D27" i="8"/>
  <c r="C27" i="8" s="1"/>
  <c r="D32" i="7"/>
  <c r="E32" i="7" s="1"/>
  <c r="F32" i="7" s="1"/>
  <c r="I27" i="2"/>
  <c r="J27" i="2" s="1"/>
  <c r="G28" i="2"/>
  <c r="E28" i="2"/>
  <c r="C28" i="2" s="1"/>
  <c r="D28" i="2" s="1"/>
  <c r="K35" i="19" l="1"/>
  <c r="J27" i="13"/>
  <c r="O220" i="6"/>
  <c r="O226" i="6"/>
  <c r="O229" i="6"/>
  <c r="O224" i="6"/>
  <c r="O221" i="6"/>
  <c r="O227" i="6"/>
  <c r="O223" i="6"/>
  <c r="O225" i="6"/>
  <c r="O222" i="6"/>
  <c r="O219" i="6"/>
  <c r="O218" i="6"/>
  <c r="O228" i="6"/>
  <c r="C30" i="19"/>
  <c r="C27" i="13"/>
  <c r="K31" i="13"/>
  <c r="P233" i="6"/>
  <c r="P235" i="6"/>
  <c r="P230" i="6"/>
  <c r="P241" i="6"/>
  <c r="P231" i="6"/>
  <c r="P232" i="6"/>
  <c r="P236" i="6"/>
  <c r="P238" i="6"/>
  <c r="P239" i="6"/>
  <c r="P237" i="6"/>
  <c r="P240" i="6"/>
  <c r="P234" i="6"/>
  <c r="E28" i="13"/>
  <c r="D28" i="6"/>
  <c r="E28" i="6" s="1"/>
  <c r="F28" i="6" s="1"/>
  <c r="E29" i="3"/>
  <c r="H27" i="8"/>
  <c r="I27" i="8" s="1"/>
  <c r="F28" i="8"/>
  <c r="D28" i="8"/>
  <c r="C28" i="8" s="1"/>
  <c r="D33" i="7"/>
  <c r="E33" i="7" s="1"/>
  <c r="F33" i="7" s="1"/>
  <c r="I28" i="2"/>
  <c r="J28" i="2" s="1"/>
  <c r="G29" i="2"/>
  <c r="E29" i="2"/>
  <c r="C29" i="2" s="1"/>
  <c r="D29" i="2" s="1"/>
  <c r="K36" i="19" l="1"/>
  <c r="J28" i="13"/>
  <c r="O232" i="6"/>
  <c r="O238" i="6"/>
  <c r="O241" i="6"/>
  <c r="O236" i="6"/>
  <c r="O230" i="6"/>
  <c r="O235" i="6"/>
  <c r="O231" i="6"/>
  <c r="O240" i="6"/>
  <c r="O234" i="6"/>
  <c r="O239" i="6"/>
  <c r="O233" i="6"/>
  <c r="O237" i="6"/>
  <c r="C31" i="19"/>
  <c r="C28" i="13"/>
  <c r="K32" i="13"/>
  <c r="P252" i="6"/>
  <c r="P250" i="6"/>
  <c r="P253" i="6"/>
  <c r="P249" i="6"/>
  <c r="P247" i="6"/>
  <c r="P244" i="6"/>
  <c r="P243" i="6"/>
  <c r="P246" i="6"/>
  <c r="P242" i="6"/>
  <c r="P245" i="6"/>
  <c r="P248" i="6"/>
  <c r="P251" i="6"/>
  <c r="E29" i="13"/>
  <c r="D29" i="6"/>
  <c r="E29" i="6" s="1"/>
  <c r="F29" i="6" s="1"/>
  <c r="E30" i="3"/>
  <c r="H28" i="8"/>
  <c r="I28" i="8" s="1"/>
  <c r="D29" i="8"/>
  <c r="C29" i="8" s="1"/>
  <c r="H29" i="8" s="1"/>
  <c r="I29" i="8" s="1"/>
  <c r="F29" i="8"/>
  <c r="D34" i="7"/>
  <c r="E34" i="7" s="1"/>
  <c r="F34" i="7" s="1"/>
  <c r="G30" i="2"/>
  <c r="E30" i="2"/>
  <c r="C30" i="2" s="1"/>
  <c r="D30" i="2" s="1"/>
  <c r="I29" i="2"/>
  <c r="J29" i="2" s="1"/>
  <c r="K37" i="19" l="1"/>
  <c r="J29" i="13"/>
  <c r="O244" i="6"/>
  <c r="O250" i="6"/>
  <c r="O253" i="6"/>
  <c r="O248" i="6"/>
  <c r="O247" i="6"/>
  <c r="O243" i="6"/>
  <c r="O246" i="6"/>
  <c r="O245" i="6"/>
  <c r="O242" i="6"/>
  <c r="O252" i="6"/>
  <c r="O251" i="6"/>
  <c r="O249" i="6"/>
  <c r="C32" i="19"/>
  <c r="C29" i="13"/>
  <c r="K33" i="13"/>
  <c r="P265" i="6"/>
  <c r="P256" i="6"/>
  <c r="P263" i="6"/>
  <c r="P258" i="6"/>
  <c r="P262" i="6"/>
  <c r="P254" i="6"/>
  <c r="P259" i="6"/>
  <c r="P257" i="6"/>
  <c r="P260" i="6"/>
  <c r="P264" i="6"/>
  <c r="P261" i="6"/>
  <c r="P255" i="6"/>
  <c r="E30" i="13"/>
  <c r="D30" i="6"/>
  <c r="E30" i="6" s="1"/>
  <c r="F30" i="6" s="1"/>
  <c r="E31" i="3"/>
  <c r="D30" i="8"/>
  <c r="C30" i="8" s="1"/>
  <c r="F30" i="8"/>
  <c r="D35" i="7"/>
  <c r="E35" i="7" s="1"/>
  <c r="F35" i="7" s="1"/>
  <c r="G31" i="2"/>
  <c r="E31" i="2"/>
  <c r="C31" i="2" s="1"/>
  <c r="D31" i="2" s="1"/>
  <c r="I30" i="2"/>
  <c r="J30" i="2" s="1"/>
  <c r="K38" i="19" l="1"/>
  <c r="J30" i="13"/>
  <c r="O256" i="6"/>
  <c r="O262" i="6"/>
  <c r="O265" i="6"/>
  <c r="O264" i="6"/>
  <c r="O259" i="6"/>
  <c r="O261" i="6"/>
  <c r="O255" i="6"/>
  <c r="O258" i="6"/>
  <c r="O257" i="6"/>
  <c r="O254" i="6"/>
  <c r="O260" i="6"/>
  <c r="O263" i="6"/>
  <c r="C33" i="19"/>
  <c r="C30" i="13"/>
  <c r="K34" i="13"/>
  <c r="P275" i="6"/>
  <c r="P274" i="6"/>
  <c r="P273" i="6"/>
  <c r="P267" i="6"/>
  <c r="P277" i="6"/>
  <c r="P269" i="6"/>
  <c r="P268" i="6"/>
  <c r="P271" i="6"/>
  <c r="P276" i="6"/>
  <c r="P266" i="6"/>
  <c r="P270" i="6"/>
  <c r="P272" i="6"/>
  <c r="E31" i="13"/>
  <c r="D31" i="6"/>
  <c r="E31" i="6" s="1"/>
  <c r="F31" i="6" s="1"/>
  <c r="E32" i="3"/>
  <c r="H30" i="8"/>
  <c r="I30" i="8" s="1"/>
  <c r="F31" i="8"/>
  <c r="D31" i="8"/>
  <c r="C31" i="8" s="1"/>
  <c r="D36" i="7"/>
  <c r="E36" i="7" s="1"/>
  <c r="F36" i="7" s="1"/>
  <c r="I31" i="2"/>
  <c r="J31" i="2" s="1"/>
  <c r="G32" i="2"/>
  <c r="E32" i="2"/>
  <c r="C32" i="2" s="1"/>
  <c r="D32" i="2" s="1"/>
  <c r="K39" i="19" l="1"/>
  <c r="O268" i="6"/>
  <c r="O274" i="6"/>
  <c r="O277" i="6"/>
  <c r="O271" i="6"/>
  <c r="O267" i="6"/>
  <c r="O272" i="6"/>
  <c r="O269" i="6"/>
  <c r="O276" i="6"/>
  <c r="O275" i="6"/>
  <c r="O266" i="6"/>
  <c r="O270" i="6"/>
  <c r="O273" i="6"/>
  <c r="J31" i="13"/>
  <c r="C34" i="19"/>
  <c r="C31" i="13"/>
  <c r="K35" i="13"/>
  <c r="P289" i="6"/>
  <c r="P280" i="6"/>
  <c r="P287" i="6"/>
  <c r="P284" i="6"/>
  <c r="P279" i="6"/>
  <c r="P286" i="6"/>
  <c r="P281" i="6"/>
  <c r="P288" i="6"/>
  <c r="P282" i="6"/>
  <c r="P278" i="6"/>
  <c r="P283" i="6"/>
  <c r="P285" i="6"/>
  <c r="E32" i="13"/>
  <c r="D32" i="6"/>
  <c r="E32" i="6" s="1"/>
  <c r="F32" i="6" s="1"/>
  <c r="E33" i="3"/>
  <c r="H31" i="8"/>
  <c r="I31" i="8" s="1"/>
  <c r="D32" i="8"/>
  <c r="C32" i="8" s="1"/>
  <c r="H32" i="8" s="1"/>
  <c r="I32" i="8" s="1"/>
  <c r="F32" i="8"/>
  <c r="D37" i="7"/>
  <c r="E37" i="7" s="1"/>
  <c r="F37" i="7" s="1"/>
  <c r="G33" i="2"/>
  <c r="E33" i="2"/>
  <c r="C33" i="2" s="1"/>
  <c r="D33" i="2" s="1"/>
  <c r="I32" i="2"/>
  <c r="J32" i="2" s="1"/>
  <c r="K40" i="19" l="1"/>
  <c r="J32" i="13"/>
  <c r="O280" i="6"/>
  <c r="O286" i="6"/>
  <c r="O289" i="6"/>
  <c r="O283" i="6"/>
  <c r="O279" i="6"/>
  <c r="O278" i="6"/>
  <c r="O284" i="6"/>
  <c r="O288" i="6"/>
  <c r="O287" i="6"/>
  <c r="O282" i="6"/>
  <c r="O281" i="6"/>
  <c r="O285" i="6"/>
  <c r="C35" i="19"/>
  <c r="C32" i="13"/>
  <c r="K36" i="13"/>
  <c r="P296" i="6"/>
  <c r="P300" i="6"/>
  <c r="P291" i="6"/>
  <c r="P290" i="6"/>
  <c r="P293" i="6"/>
  <c r="P292" i="6"/>
  <c r="P294" i="6"/>
  <c r="P295" i="6"/>
  <c r="P301" i="6"/>
  <c r="P299" i="6"/>
  <c r="P298" i="6"/>
  <c r="P297" i="6"/>
  <c r="E33" i="13"/>
  <c r="D33" i="6"/>
  <c r="E33" i="6" s="1"/>
  <c r="F33" i="6" s="1"/>
  <c r="E34" i="3"/>
  <c r="D33" i="8"/>
  <c r="C33" i="8" s="1"/>
  <c r="H33" i="8" s="1"/>
  <c r="I33" i="8" s="1"/>
  <c r="F33" i="8"/>
  <c r="D38" i="7"/>
  <c r="E38" i="7" s="1"/>
  <c r="F38" i="7" s="1"/>
  <c r="I33" i="2"/>
  <c r="J33" i="2" s="1"/>
  <c r="G34" i="2"/>
  <c r="E34" i="2"/>
  <c r="C34" i="2" s="1"/>
  <c r="D34" i="2" s="1"/>
  <c r="K41" i="19" l="1"/>
  <c r="O292" i="6"/>
  <c r="O298" i="6"/>
  <c r="O301" i="6"/>
  <c r="O295" i="6"/>
  <c r="O291" i="6"/>
  <c r="O290" i="6"/>
  <c r="O294" i="6"/>
  <c r="O299" i="6"/>
  <c r="O296" i="6"/>
  <c r="O293" i="6"/>
  <c r="O300" i="6"/>
  <c r="O297" i="6"/>
  <c r="J33" i="13"/>
  <c r="C33" i="13"/>
  <c r="C36" i="19"/>
  <c r="K37" i="13"/>
  <c r="P312" i="6"/>
  <c r="P306" i="6"/>
  <c r="P313" i="6"/>
  <c r="P303" i="6"/>
  <c r="P305" i="6"/>
  <c r="P302" i="6"/>
  <c r="P308" i="6"/>
  <c r="P304" i="6"/>
  <c r="P307" i="6"/>
  <c r="P311" i="6"/>
  <c r="P309" i="6"/>
  <c r="P310" i="6"/>
  <c r="E34" i="13"/>
  <c r="D34" i="6"/>
  <c r="E34" i="6" s="1"/>
  <c r="F34" i="6" s="1"/>
  <c r="E35" i="3"/>
  <c r="D34" i="8"/>
  <c r="C34" i="8" s="1"/>
  <c r="F34" i="8"/>
  <c r="D39" i="7"/>
  <c r="E39" i="7" s="1"/>
  <c r="F39" i="7" s="1"/>
  <c r="I34" i="2"/>
  <c r="J34" i="2" s="1"/>
  <c r="G35" i="2"/>
  <c r="E35" i="2"/>
  <c r="C35" i="2" s="1"/>
  <c r="D35" i="2" s="1"/>
  <c r="K42" i="19" l="1"/>
  <c r="J34" i="13"/>
  <c r="O304" i="6"/>
  <c r="O310" i="6"/>
  <c r="O313" i="6"/>
  <c r="O307" i="6"/>
  <c r="O302" i="6"/>
  <c r="O308" i="6"/>
  <c r="O306" i="6"/>
  <c r="O305" i="6"/>
  <c r="O311" i="6"/>
  <c r="O303" i="6"/>
  <c r="O312" i="6"/>
  <c r="O309" i="6"/>
  <c r="C37" i="19"/>
  <c r="C34" i="13"/>
  <c r="K38" i="13"/>
  <c r="P320" i="6"/>
  <c r="P321" i="6"/>
  <c r="P322" i="6"/>
  <c r="P314" i="6"/>
  <c r="P316" i="6"/>
  <c r="P317" i="6"/>
  <c r="P324" i="6"/>
  <c r="P323" i="6"/>
  <c r="P319" i="6"/>
  <c r="P318" i="6"/>
  <c r="P315" i="6"/>
  <c r="P325" i="6"/>
  <c r="E35" i="13"/>
  <c r="D35" i="6"/>
  <c r="E35" i="6" s="1"/>
  <c r="F35" i="6" s="1"/>
  <c r="E36" i="3"/>
  <c r="H34" i="8"/>
  <c r="I34" i="8" s="1"/>
  <c r="F35" i="8"/>
  <c r="D35" i="8"/>
  <c r="C35" i="8" s="1"/>
  <c r="D40" i="7"/>
  <c r="E40" i="7" s="1"/>
  <c r="F40" i="7" s="1"/>
  <c r="I35" i="2"/>
  <c r="J35" i="2" s="1"/>
  <c r="G36" i="2"/>
  <c r="E36" i="2"/>
  <c r="C36" i="2" s="1"/>
  <c r="D36" i="2" s="1"/>
  <c r="K43" i="19" l="1"/>
  <c r="J35" i="13"/>
  <c r="O316" i="6"/>
  <c r="O322" i="6"/>
  <c r="O325" i="6"/>
  <c r="O318" i="6"/>
  <c r="O314" i="6"/>
  <c r="O317" i="6"/>
  <c r="O320" i="6"/>
  <c r="O319" i="6"/>
  <c r="O321" i="6"/>
  <c r="O315" i="6"/>
  <c r="O324" i="6"/>
  <c r="O323" i="6"/>
  <c r="C35" i="13"/>
  <c r="C38" i="19"/>
  <c r="K39" i="13"/>
  <c r="P329" i="6"/>
  <c r="P335" i="6"/>
  <c r="P326" i="6"/>
  <c r="P331" i="6"/>
  <c r="P336" i="6"/>
  <c r="P332" i="6"/>
  <c r="P337" i="6"/>
  <c r="P330" i="6"/>
  <c r="P327" i="6"/>
  <c r="P328" i="6"/>
  <c r="P333" i="6"/>
  <c r="P334" i="6"/>
  <c r="E36" i="13"/>
  <c r="D36" i="6"/>
  <c r="E36" i="6" s="1"/>
  <c r="F36" i="6" s="1"/>
  <c r="E37" i="3"/>
  <c r="H35" i="8"/>
  <c r="I35" i="8" s="1"/>
  <c r="D36" i="8"/>
  <c r="C36" i="8" s="1"/>
  <c r="F36" i="8"/>
  <c r="D41" i="7"/>
  <c r="E41" i="7" s="1"/>
  <c r="F41" i="7" s="1"/>
  <c r="G37" i="2"/>
  <c r="E37" i="2"/>
  <c r="C37" i="2" s="1"/>
  <c r="D37" i="2" s="1"/>
  <c r="I36" i="2"/>
  <c r="J36" i="2" s="1"/>
  <c r="J36" i="13" l="1"/>
  <c r="O328" i="6"/>
  <c r="O334" i="6"/>
  <c r="O337" i="6"/>
  <c r="O327" i="6"/>
  <c r="O330" i="6"/>
  <c r="O326" i="6"/>
  <c r="O329" i="6"/>
  <c r="O332" i="6"/>
  <c r="O336" i="6"/>
  <c r="O335" i="6"/>
  <c r="O333" i="6"/>
  <c r="O331" i="6"/>
  <c r="C39" i="19"/>
  <c r="C36" i="13"/>
  <c r="K40" i="13"/>
  <c r="P49" i="9"/>
  <c r="P344" i="6"/>
  <c r="P338" i="6"/>
  <c r="P348" i="6"/>
  <c r="P346" i="6"/>
  <c r="P340" i="6"/>
  <c r="P339" i="6"/>
  <c r="P347" i="6"/>
  <c r="P341" i="6"/>
  <c r="P342" i="6"/>
  <c r="P349" i="6"/>
  <c r="P343" i="6"/>
  <c r="P345" i="6"/>
  <c r="E37" i="13"/>
  <c r="D37" i="6"/>
  <c r="E37" i="6" s="1"/>
  <c r="F37" i="6" s="1"/>
  <c r="E38" i="3"/>
  <c r="H36" i="8"/>
  <c r="I36" i="8" s="1"/>
  <c r="F37" i="8"/>
  <c r="D37" i="8"/>
  <c r="C37" i="8" s="1"/>
  <c r="E45" i="2"/>
  <c r="F49" i="2" s="1"/>
  <c r="D42" i="7"/>
  <c r="E42" i="7" s="1"/>
  <c r="F42" i="7" s="1"/>
  <c r="I37" i="2"/>
  <c r="J37" i="2" s="1"/>
  <c r="G38" i="2"/>
  <c r="E38" i="2"/>
  <c r="C38" i="2" s="1"/>
  <c r="D38" i="2" s="1"/>
  <c r="C45" i="2"/>
  <c r="L40" i="13" l="1"/>
  <c r="T40" i="13"/>
  <c r="J37" i="13"/>
  <c r="O340" i="6"/>
  <c r="O346" i="6"/>
  <c r="O349" i="6"/>
  <c r="O342" i="6"/>
  <c r="O338" i="6"/>
  <c r="O348" i="6"/>
  <c r="O341" i="6"/>
  <c r="O347" i="6"/>
  <c r="O344" i="6"/>
  <c r="O345" i="6"/>
  <c r="O339" i="6"/>
  <c r="O343" i="6"/>
  <c r="C37" i="13"/>
  <c r="C40" i="19"/>
  <c r="K41" i="13"/>
  <c r="F10" i="13"/>
  <c r="G10" i="13" s="1"/>
  <c r="E14" i="19" s="1"/>
  <c r="P361" i="6"/>
  <c r="P358" i="6"/>
  <c r="P360" i="6"/>
  <c r="P356" i="6"/>
  <c r="P355" i="6"/>
  <c r="P353" i="6"/>
  <c r="P359" i="6"/>
  <c r="P350" i="6"/>
  <c r="P357" i="6"/>
  <c r="P352" i="6"/>
  <c r="P351" i="6"/>
  <c r="P354" i="6"/>
  <c r="E38" i="13"/>
  <c r="D38" i="6"/>
  <c r="E38" i="6" s="1"/>
  <c r="F38" i="6" s="1"/>
  <c r="E39" i="3"/>
  <c r="H37" i="8"/>
  <c r="I37" i="8" s="1"/>
  <c r="F38" i="8"/>
  <c r="D38" i="8"/>
  <c r="C38" i="8" s="1"/>
  <c r="D43" i="7"/>
  <c r="E43" i="7" s="1"/>
  <c r="F43" i="7" s="1"/>
  <c r="G39" i="2"/>
  <c r="E39" i="2"/>
  <c r="C39" i="2" s="1"/>
  <c r="D39" i="2" s="1"/>
  <c r="I38" i="2"/>
  <c r="J38" i="2" s="1"/>
  <c r="L41" i="13" l="1"/>
  <c r="T41" i="13"/>
  <c r="J38" i="13"/>
  <c r="O352" i="6"/>
  <c r="O358" i="6"/>
  <c r="O361" i="6"/>
  <c r="O351" i="6"/>
  <c r="O354" i="6"/>
  <c r="O353" i="6"/>
  <c r="O350" i="6"/>
  <c r="O356" i="6"/>
  <c r="O360" i="6"/>
  <c r="O355" i="6"/>
  <c r="O357" i="6"/>
  <c r="O359" i="6"/>
  <c r="C38" i="13"/>
  <c r="C41" i="19"/>
  <c r="K42" i="13"/>
  <c r="P364" i="6"/>
  <c r="P362" i="6"/>
  <c r="P367" i="6"/>
  <c r="P366" i="6"/>
  <c r="P368" i="6"/>
  <c r="P371" i="6"/>
  <c r="P373" i="6"/>
  <c r="P365" i="6"/>
  <c r="P369" i="6"/>
  <c r="P372" i="6"/>
  <c r="P363" i="6"/>
  <c r="P370" i="6"/>
  <c r="D39" i="6"/>
  <c r="E39" i="6" s="1"/>
  <c r="F39" i="6" s="1"/>
  <c r="E41" i="3"/>
  <c r="E40" i="3"/>
  <c r="H38" i="8"/>
  <c r="I38" i="8" s="1"/>
  <c r="D39" i="8"/>
  <c r="C39" i="8" s="1"/>
  <c r="F39" i="8"/>
  <c r="G40" i="2"/>
  <c r="E40" i="2"/>
  <c r="C40" i="2" s="1"/>
  <c r="D40" i="2" s="1"/>
  <c r="I39" i="2"/>
  <c r="J39" i="2" s="1"/>
  <c r="L42" i="13" l="1"/>
  <c r="T42" i="13"/>
  <c r="O364" i="6"/>
  <c r="O370" i="6"/>
  <c r="O373" i="6"/>
  <c r="O366" i="6"/>
  <c r="O365" i="6"/>
  <c r="O362" i="6"/>
  <c r="O368" i="6"/>
  <c r="O371" i="6"/>
  <c r="O372" i="6"/>
  <c r="O367" i="6"/>
  <c r="O369" i="6"/>
  <c r="O363" i="6"/>
  <c r="C42" i="19"/>
  <c r="C39" i="13"/>
  <c r="K43" i="13"/>
  <c r="E39" i="13"/>
  <c r="D40" i="6"/>
  <c r="E40" i="6" s="1"/>
  <c r="F40" i="6" s="1"/>
  <c r="H39" i="8"/>
  <c r="I39" i="8" s="1"/>
  <c r="F40" i="8"/>
  <c r="D40" i="8"/>
  <c r="C40" i="8" s="1"/>
  <c r="I40" i="2"/>
  <c r="J40" i="2" s="1"/>
  <c r="G41" i="2"/>
  <c r="E41" i="2"/>
  <c r="C41" i="2" s="1"/>
  <c r="D41" i="2" s="1"/>
  <c r="L43" i="13" l="1"/>
  <c r="T43" i="13"/>
  <c r="P374" i="6"/>
  <c r="J39" i="13"/>
  <c r="C43" i="19"/>
  <c r="C40" i="13"/>
  <c r="C41" i="13" s="1"/>
  <c r="C42" i="13" s="1"/>
  <c r="C43" i="13" s="1"/>
  <c r="C44" i="13" s="1"/>
  <c r="C45" i="13" s="1"/>
  <c r="C46" i="13" s="1"/>
  <c r="C47" i="13" s="1"/>
  <c r="C48" i="13" s="1"/>
  <c r="C49" i="13" s="1"/>
  <c r="K44" i="13"/>
  <c r="G39" i="13"/>
  <c r="D41" i="6"/>
  <c r="E41" i="6" s="1"/>
  <c r="F41" i="6" s="1"/>
  <c r="H40" i="8"/>
  <c r="I40" i="8" s="1"/>
  <c r="D41" i="8"/>
  <c r="C41" i="8" s="1"/>
  <c r="F41" i="8"/>
  <c r="G42" i="2"/>
  <c r="E42" i="2"/>
  <c r="C42" i="2" s="1"/>
  <c r="D42" i="2" s="1"/>
  <c r="I41" i="2"/>
  <c r="J41" i="2" s="1"/>
  <c r="L44" i="13" l="1"/>
  <c r="T44" i="13"/>
  <c r="U9" i="13"/>
  <c r="P47" i="9"/>
  <c r="O374" i="6"/>
  <c r="K45" i="13"/>
  <c r="D42" i="6"/>
  <c r="E42" i="6" s="1"/>
  <c r="F42" i="6" s="1"/>
  <c r="H41" i="8"/>
  <c r="I41" i="8" s="1"/>
  <c r="D42" i="8"/>
  <c r="C42" i="8" s="1"/>
  <c r="F42" i="8"/>
  <c r="G43" i="2"/>
  <c r="E43" i="2"/>
  <c r="C43" i="2" s="1"/>
  <c r="D43" i="2" s="1"/>
  <c r="I42" i="2"/>
  <c r="J42" i="2" s="1"/>
  <c r="L45" i="13" l="1"/>
  <c r="T45" i="13"/>
  <c r="K46" i="13"/>
  <c r="D43" i="6"/>
  <c r="E43" i="6" s="1"/>
  <c r="F43" i="6" s="1"/>
  <c r="H42" i="8"/>
  <c r="I42" i="8" s="1"/>
  <c r="F43" i="8"/>
  <c r="D43" i="8"/>
  <c r="C43" i="8" s="1"/>
  <c r="I43" i="2"/>
  <c r="J43" i="2" s="1"/>
  <c r="L46" i="13" l="1"/>
  <c r="T46" i="13"/>
  <c r="K47" i="13"/>
  <c r="D44" i="6"/>
  <c r="E44" i="6" s="1"/>
  <c r="F44" i="6" s="1"/>
  <c r="H43" i="8"/>
  <c r="I43" i="8" s="1"/>
  <c r="D44" i="8"/>
  <c r="C44" i="8" s="1"/>
  <c r="F44" i="8"/>
  <c r="L47" i="13" l="1"/>
  <c r="T47" i="13"/>
  <c r="K48" i="13"/>
  <c r="D45" i="6"/>
  <c r="E45" i="6" s="1"/>
  <c r="F45" i="6" s="1"/>
  <c r="H44" i="8"/>
  <c r="I44" i="8" s="1"/>
  <c r="D45" i="8"/>
  <c r="C45" i="8" s="1"/>
  <c r="H45" i="8" s="1"/>
  <c r="I45" i="8" s="1"/>
  <c r="F45" i="8"/>
  <c r="L48" i="13" l="1"/>
  <c r="T48" i="13"/>
  <c r="K49" i="13"/>
  <c r="D46" i="6"/>
  <c r="E46" i="6" s="1"/>
  <c r="F46" i="6" s="1"/>
  <c r="F46" i="8"/>
  <c r="D46" i="8"/>
  <c r="C46" i="8" s="1"/>
  <c r="L49" i="13" l="1"/>
  <c r="T49" i="13"/>
  <c r="D47" i="6"/>
  <c r="E47" i="6" s="1"/>
  <c r="F47" i="6" s="1"/>
  <c r="H46" i="8"/>
  <c r="I46" i="8" s="1"/>
  <c r="D47" i="8"/>
  <c r="C47" i="8" s="1"/>
  <c r="F47" i="8"/>
  <c r="D48" i="6" l="1"/>
  <c r="E48" i="6" s="1"/>
  <c r="F48" i="6" s="1"/>
  <c r="H47" i="8"/>
  <c r="I47" i="8" s="1"/>
  <c r="F48" i="8"/>
  <c r="D48" i="8"/>
  <c r="C48" i="8" s="1"/>
  <c r="D49" i="6" l="1"/>
  <c r="E49" i="6" s="1"/>
  <c r="F49" i="6" s="1"/>
  <c r="F11" i="13" s="1"/>
  <c r="G11" i="13" s="1"/>
  <c r="E15" i="19" s="1"/>
  <c r="H48" i="8"/>
  <c r="I48" i="8" s="1"/>
  <c r="F49" i="8"/>
  <c r="D49" i="8"/>
  <c r="C49" i="8" s="1"/>
  <c r="D50" i="6" l="1"/>
  <c r="E50" i="6" s="1"/>
  <c r="F50" i="6" s="1"/>
  <c r="H49" i="8"/>
  <c r="I49" i="8" s="1"/>
  <c r="D50" i="8"/>
  <c r="C50" i="8" s="1"/>
  <c r="F50" i="8"/>
  <c r="D51" i="6" l="1"/>
  <c r="E51" i="6" s="1"/>
  <c r="F51" i="6" s="1"/>
  <c r="H50" i="8"/>
  <c r="I50" i="8" s="1"/>
  <c r="D51" i="8"/>
  <c r="C51" i="8" s="1"/>
  <c r="F51" i="8"/>
  <c r="I13" i="7"/>
  <c r="D52" i="6" l="1"/>
  <c r="E52" i="6" s="1"/>
  <c r="F52" i="6" s="1"/>
  <c r="H51" i="8"/>
  <c r="I51" i="8" s="1"/>
  <c r="D52" i="8"/>
  <c r="C52" i="8" s="1"/>
  <c r="F52" i="8"/>
  <c r="J13" i="7"/>
  <c r="H52" i="8" l="1"/>
  <c r="I52" i="8" s="1"/>
  <c r="F53" i="8"/>
  <c r="D53" i="8"/>
  <c r="C53" i="8" s="1"/>
  <c r="D53" i="6"/>
  <c r="E53" i="6" s="1"/>
  <c r="F53" i="6" s="1"/>
  <c r="H53" i="8" l="1"/>
  <c r="I53" i="8" s="1"/>
  <c r="D54" i="8"/>
  <c r="C54" i="8" s="1"/>
  <c r="F54" i="8"/>
  <c r="H54" i="8" l="1"/>
  <c r="I54" i="8" s="1"/>
  <c r="D55" i="8"/>
  <c r="C55" i="8" s="1"/>
  <c r="F55" i="8"/>
  <c r="H55" i="8" l="1"/>
  <c r="I55" i="8" s="1"/>
  <c r="F56" i="8"/>
  <c r="D56" i="8"/>
  <c r="C56" i="8" s="1"/>
  <c r="D54" i="6"/>
  <c r="E54" i="6" s="1"/>
  <c r="F54" i="6" s="1"/>
  <c r="H56" i="8" l="1"/>
  <c r="I56" i="8" s="1"/>
  <c r="D57" i="8"/>
  <c r="C57" i="8" s="1"/>
  <c r="F57" i="8"/>
  <c r="H57" i="8" l="1"/>
  <c r="I57" i="8" s="1"/>
  <c r="D58" i="8"/>
  <c r="C58" i="8" s="1"/>
  <c r="F58" i="8"/>
  <c r="H58" i="8" l="1"/>
  <c r="I58" i="8" s="1"/>
  <c r="F59" i="8"/>
  <c r="D59" i="8"/>
  <c r="C59" i="8" s="1"/>
  <c r="D55" i="6"/>
  <c r="E55" i="6" s="1"/>
  <c r="F55" i="6" s="1"/>
  <c r="H59" i="8" l="1"/>
  <c r="I59" i="8" s="1"/>
  <c r="D60" i="8"/>
  <c r="C60" i="8" s="1"/>
  <c r="F60" i="8"/>
  <c r="D56" i="6"/>
  <c r="E56" i="6" s="1"/>
  <c r="F56" i="6" s="1"/>
  <c r="H60" i="8" l="1"/>
  <c r="I60" i="8" s="1"/>
  <c r="D61" i="8"/>
  <c r="C61" i="8" s="1"/>
  <c r="F61" i="8"/>
  <c r="D57" i="6"/>
  <c r="E57" i="6" s="1"/>
  <c r="F57" i="6" s="1"/>
  <c r="H61" i="8" l="1"/>
  <c r="I61" i="8" s="1"/>
  <c r="D62" i="8"/>
  <c r="C62" i="8" s="1"/>
  <c r="F62" i="8"/>
  <c r="D58" i="6"/>
  <c r="E58" i="6" s="1"/>
  <c r="F58" i="6" s="1"/>
  <c r="H62" i="8" l="1"/>
  <c r="I62" i="8" s="1"/>
  <c r="D63" i="8"/>
  <c r="C63" i="8" s="1"/>
  <c r="F63" i="8"/>
  <c r="D59" i="6"/>
  <c r="E59" i="6" s="1"/>
  <c r="F59" i="6" s="1"/>
  <c r="H63" i="8" l="1"/>
  <c r="I63" i="8" s="1"/>
  <c r="D64" i="8"/>
  <c r="C64" i="8" s="1"/>
  <c r="F64" i="8"/>
  <c r="D60" i="6"/>
  <c r="E60" i="6" s="1"/>
  <c r="F60" i="6" s="1"/>
  <c r="H64" i="8" l="1"/>
  <c r="I64" i="8" s="1"/>
  <c r="D65" i="8"/>
  <c r="C65" i="8" s="1"/>
  <c r="F65" i="8"/>
  <c r="D61" i="6"/>
  <c r="E61" i="6" s="1"/>
  <c r="F61" i="6" s="1"/>
  <c r="F12" i="13" s="1"/>
  <c r="G12" i="13" s="1"/>
  <c r="E16" i="19" s="1"/>
  <c r="H65" i="8" l="1"/>
  <c r="I65" i="8" s="1"/>
  <c r="F66" i="8"/>
  <c r="D66" i="8"/>
  <c r="C66" i="8" s="1"/>
  <c r="D62" i="6"/>
  <c r="E62" i="6" s="1"/>
  <c r="F62" i="6" s="1"/>
  <c r="H66" i="8" l="1"/>
  <c r="I66" i="8" s="1"/>
  <c r="D67" i="8"/>
  <c r="C67" i="8" s="1"/>
  <c r="F67" i="8"/>
  <c r="D63" i="6"/>
  <c r="E63" i="6" s="1"/>
  <c r="F63" i="6" s="1"/>
  <c r="H67" i="8" l="1"/>
  <c r="I67" i="8" s="1"/>
  <c r="F68" i="8"/>
  <c r="D68" i="8"/>
  <c r="C68" i="8" s="1"/>
  <c r="H68" i="8" s="1"/>
  <c r="I68" i="8" s="1"/>
  <c r="D64" i="6"/>
  <c r="E64" i="6" s="1"/>
  <c r="F64" i="6" s="1"/>
  <c r="D69" i="8" l="1"/>
  <c r="C69" i="8" s="1"/>
  <c r="F69" i="8"/>
  <c r="D65" i="6"/>
  <c r="E65" i="6" s="1"/>
  <c r="F65" i="6" s="1"/>
  <c r="H69" i="8" l="1"/>
  <c r="I69" i="8" s="1"/>
  <c r="D70" i="8"/>
  <c r="C70" i="8" s="1"/>
  <c r="H70" i="8" s="1"/>
  <c r="I70" i="8" s="1"/>
  <c r="F70" i="8"/>
  <c r="D66" i="6"/>
  <c r="E66" i="6" s="1"/>
  <c r="F66" i="6" s="1"/>
  <c r="D71" i="8" l="1"/>
  <c r="C71" i="8" s="1"/>
  <c r="F71" i="8"/>
  <c r="D67" i="6"/>
  <c r="E67" i="6" s="1"/>
  <c r="F67" i="6" s="1"/>
  <c r="H71" i="8" l="1"/>
  <c r="I71" i="8" s="1"/>
  <c r="F72" i="8"/>
  <c r="D72" i="8"/>
  <c r="C72" i="8" s="1"/>
  <c r="D68" i="6"/>
  <c r="E68" i="6" s="1"/>
  <c r="F68" i="6" s="1"/>
  <c r="H72" i="8" l="1"/>
  <c r="I72" i="8" s="1"/>
  <c r="F73" i="8"/>
  <c r="D73" i="8"/>
  <c r="C73" i="8" s="1"/>
  <c r="D69" i="6"/>
  <c r="E69" i="6" s="1"/>
  <c r="F69" i="6" s="1"/>
  <c r="H73" i="8" l="1"/>
  <c r="I73" i="8" s="1"/>
  <c r="F74" i="8"/>
  <c r="D74" i="8"/>
  <c r="C74" i="8" s="1"/>
  <c r="D70" i="6"/>
  <c r="E70" i="6" s="1"/>
  <c r="F70" i="6" s="1"/>
  <c r="H74" i="8" l="1"/>
  <c r="I74" i="8" s="1"/>
  <c r="F75" i="8"/>
  <c r="D75" i="8"/>
  <c r="C75" i="8" s="1"/>
  <c r="D71" i="6"/>
  <c r="E71" i="6" s="1"/>
  <c r="F71" i="6" s="1"/>
  <c r="H75" i="8" l="1"/>
  <c r="I75" i="8" s="1"/>
  <c r="D76" i="8"/>
  <c r="C76" i="8" s="1"/>
  <c r="F76" i="8"/>
  <c r="D72" i="6"/>
  <c r="E72" i="6" s="1"/>
  <c r="F72" i="6" s="1"/>
  <c r="H76" i="8" l="1"/>
  <c r="I76" i="8" s="1"/>
  <c r="D77" i="8"/>
  <c r="C77" i="8" s="1"/>
  <c r="F77" i="8"/>
  <c r="D73" i="6"/>
  <c r="E73" i="6" s="1"/>
  <c r="F73" i="6" s="1"/>
  <c r="F13" i="13" s="1"/>
  <c r="G13" i="13" s="1"/>
  <c r="E17" i="19" s="1"/>
  <c r="H77" i="8" l="1"/>
  <c r="I77" i="8" s="1"/>
  <c r="F78" i="8"/>
  <c r="D78" i="8"/>
  <c r="C78" i="8" s="1"/>
  <c r="D74" i="6"/>
  <c r="E74" i="6" s="1"/>
  <c r="F74" i="6" s="1"/>
  <c r="H78" i="8" l="1"/>
  <c r="I78" i="8" s="1"/>
  <c r="F79" i="8"/>
  <c r="D79" i="8"/>
  <c r="C79" i="8" s="1"/>
  <c r="D75" i="6"/>
  <c r="E75" i="6" s="1"/>
  <c r="F75" i="6" s="1"/>
  <c r="H79" i="8" l="1"/>
  <c r="I79" i="8" s="1"/>
  <c r="D80" i="8"/>
  <c r="C80" i="8" s="1"/>
  <c r="F80" i="8"/>
  <c r="D76" i="6"/>
  <c r="E76" i="6" s="1"/>
  <c r="F76" i="6" s="1"/>
  <c r="H80" i="8" l="1"/>
  <c r="I80" i="8" s="1"/>
  <c r="F81" i="8"/>
  <c r="D81" i="8"/>
  <c r="C81" i="8" s="1"/>
  <c r="D77" i="6"/>
  <c r="E77" i="6" s="1"/>
  <c r="F77" i="6" s="1"/>
  <c r="H81" i="8" l="1"/>
  <c r="I81" i="8" s="1"/>
  <c r="F82" i="8"/>
  <c r="D82" i="8"/>
  <c r="C82" i="8" s="1"/>
  <c r="D78" i="6"/>
  <c r="E78" i="6" s="1"/>
  <c r="F78" i="6" s="1"/>
  <c r="H82" i="8" l="1"/>
  <c r="I82" i="8" s="1"/>
  <c r="D83" i="8"/>
  <c r="C83" i="8" s="1"/>
  <c r="F83" i="8"/>
  <c r="D79" i="6"/>
  <c r="E79" i="6" s="1"/>
  <c r="F79" i="6" s="1"/>
  <c r="H83" i="8" l="1"/>
  <c r="I83" i="8" s="1"/>
  <c r="F84" i="8"/>
  <c r="D84" i="8"/>
  <c r="C84" i="8" s="1"/>
  <c r="D80" i="6"/>
  <c r="E80" i="6" s="1"/>
  <c r="F80" i="6" s="1"/>
  <c r="H84" i="8" l="1"/>
  <c r="I84" i="8" s="1"/>
  <c r="F85" i="8"/>
  <c r="D85" i="8"/>
  <c r="C85" i="8" s="1"/>
  <c r="D81" i="6"/>
  <c r="E81" i="6" s="1"/>
  <c r="F81" i="6" s="1"/>
  <c r="H85" i="8" l="1"/>
  <c r="I85" i="8" s="1"/>
  <c r="D86" i="8"/>
  <c r="C86" i="8" s="1"/>
  <c r="F86" i="8"/>
  <c r="D82" i="6"/>
  <c r="E82" i="6" s="1"/>
  <c r="F82" i="6" s="1"/>
  <c r="H86" i="8" l="1"/>
  <c r="I86" i="8" s="1"/>
  <c r="D87" i="8"/>
  <c r="C87" i="8" s="1"/>
  <c r="F87" i="8"/>
  <c r="D83" i="6"/>
  <c r="E83" i="6" s="1"/>
  <c r="F83" i="6" s="1"/>
  <c r="H87" i="8" l="1"/>
  <c r="I87" i="8" s="1"/>
  <c r="D88" i="8"/>
  <c r="C88" i="8" s="1"/>
  <c r="F88" i="8"/>
  <c r="D84" i="6"/>
  <c r="E84" i="6" s="1"/>
  <c r="F84" i="6" s="1"/>
  <c r="H88" i="8" l="1"/>
  <c r="I88" i="8" s="1"/>
  <c r="D89" i="8"/>
  <c r="C89" i="8" s="1"/>
  <c r="F89" i="8"/>
  <c r="D85" i="6"/>
  <c r="E85" i="6" s="1"/>
  <c r="F85" i="6" s="1"/>
  <c r="F14" i="13" s="1"/>
  <c r="G14" i="13" s="1"/>
  <c r="E18" i="19" s="1"/>
  <c r="H89" i="8" l="1"/>
  <c r="I89" i="8" s="1"/>
  <c r="F90" i="8"/>
  <c r="D90" i="8"/>
  <c r="C90" i="8" s="1"/>
  <c r="D86" i="6"/>
  <c r="E86" i="6" s="1"/>
  <c r="F86" i="6" s="1"/>
  <c r="H90" i="8" l="1"/>
  <c r="I90" i="8" s="1"/>
  <c r="F91" i="8"/>
  <c r="D91" i="8"/>
  <c r="C91" i="8" s="1"/>
  <c r="D87" i="6"/>
  <c r="E87" i="6" s="1"/>
  <c r="F87" i="6" s="1"/>
  <c r="H91" i="8" l="1"/>
  <c r="I91" i="8" s="1"/>
  <c r="D92" i="8"/>
  <c r="C92" i="8" s="1"/>
  <c r="F92" i="8"/>
  <c r="D88" i="6"/>
  <c r="E88" i="6" s="1"/>
  <c r="F88" i="6" s="1"/>
  <c r="H92" i="8" l="1"/>
  <c r="I92" i="8" s="1"/>
  <c r="F93" i="8"/>
  <c r="D93" i="8"/>
  <c r="C93" i="8" s="1"/>
  <c r="D89" i="6"/>
  <c r="E89" i="6" s="1"/>
  <c r="F89" i="6" s="1"/>
  <c r="H93" i="8" l="1"/>
  <c r="I93" i="8" s="1"/>
  <c r="F94" i="8"/>
  <c r="D94" i="8"/>
  <c r="C94" i="8" s="1"/>
  <c r="D90" i="6"/>
  <c r="E90" i="6" s="1"/>
  <c r="F90" i="6" s="1"/>
  <c r="H94" i="8" l="1"/>
  <c r="I94" i="8" s="1"/>
  <c r="D95" i="8"/>
  <c r="C95" i="8" s="1"/>
  <c r="F95" i="8"/>
  <c r="D91" i="6"/>
  <c r="E91" i="6" s="1"/>
  <c r="F91" i="6" s="1"/>
  <c r="H95" i="8" l="1"/>
  <c r="I95" i="8" s="1"/>
  <c r="D96" i="8"/>
  <c r="C96" i="8" s="1"/>
  <c r="F96" i="8"/>
  <c r="D92" i="6"/>
  <c r="E92" i="6" s="1"/>
  <c r="F92" i="6" s="1"/>
  <c r="H96" i="8" l="1"/>
  <c r="I96" i="8" s="1"/>
  <c r="D97" i="8"/>
  <c r="C97" i="8" s="1"/>
  <c r="F97" i="8"/>
  <c r="D93" i="6"/>
  <c r="E93" i="6" s="1"/>
  <c r="F93" i="6" s="1"/>
  <c r="H97" i="8" l="1"/>
  <c r="I97" i="8" s="1"/>
  <c r="F98" i="8"/>
  <c r="D98" i="8"/>
  <c r="C98" i="8" s="1"/>
  <c r="D94" i="6"/>
  <c r="E94" i="6" s="1"/>
  <c r="F94" i="6" s="1"/>
  <c r="H98" i="8" l="1"/>
  <c r="I98" i="8" s="1"/>
  <c r="F99" i="8"/>
  <c r="D99" i="8"/>
  <c r="C99" i="8" s="1"/>
  <c r="D95" i="6"/>
  <c r="E95" i="6" s="1"/>
  <c r="F95" i="6" s="1"/>
  <c r="H99" i="8" l="1"/>
  <c r="I99" i="8" s="1"/>
  <c r="F100" i="8"/>
  <c r="D100" i="8"/>
  <c r="C100" i="8" s="1"/>
  <c r="D96" i="6"/>
  <c r="E96" i="6" s="1"/>
  <c r="F96" i="6" s="1"/>
  <c r="H100" i="8" l="1"/>
  <c r="I100" i="8" s="1"/>
  <c r="D101" i="8"/>
  <c r="C101" i="8" s="1"/>
  <c r="F101" i="8"/>
  <c r="D97" i="6"/>
  <c r="E97" i="6" s="1"/>
  <c r="F97" i="6" s="1"/>
  <c r="F15" i="13" s="1"/>
  <c r="G15" i="13" s="1"/>
  <c r="E19" i="19" s="1"/>
  <c r="H101" i="8" l="1"/>
  <c r="I101" i="8" s="1"/>
  <c r="F102" i="8"/>
  <c r="D102" i="8"/>
  <c r="C102" i="8" s="1"/>
  <c r="D98" i="6"/>
  <c r="E98" i="6" s="1"/>
  <c r="F98" i="6" s="1"/>
  <c r="H102" i="8" l="1"/>
  <c r="I102" i="8" s="1"/>
  <c r="F103" i="8"/>
  <c r="D103" i="8"/>
  <c r="C103" i="8" s="1"/>
  <c r="D99" i="6"/>
  <c r="E99" i="6" s="1"/>
  <c r="F99" i="6" s="1"/>
  <c r="H103" i="8" l="1"/>
  <c r="I103" i="8" s="1"/>
  <c r="D104" i="8"/>
  <c r="C104" i="8" s="1"/>
  <c r="H104" i="8" s="1"/>
  <c r="I104" i="8" s="1"/>
  <c r="F104" i="8"/>
  <c r="D100" i="6"/>
  <c r="E100" i="6" s="1"/>
  <c r="F100" i="6" s="1"/>
  <c r="F105" i="8" l="1"/>
  <c r="D105" i="8"/>
  <c r="C105" i="8" s="1"/>
  <c r="D101" i="6"/>
  <c r="E101" i="6" s="1"/>
  <c r="F101" i="6" s="1"/>
  <c r="H105" i="8" l="1"/>
  <c r="I105" i="8" s="1"/>
  <c r="F106" i="8"/>
  <c r="D106" i="8"/>
  <c r="C106" i="8" s="1"/>
  <c r="D102" i="6"/>
  <c r="E102" i="6" s="1"/>
  <c r="F102" i="6" s="1"/>
  <c r="H106" i="8" l="1"/>
  <c r="I106" i="8" s="1"/>
  <c r="F107" i="8"/>
  <c r="D107" i="8"/>
  <c r="C107" i="8" s="1"/>
  <c r="D103" i="6"/>
  <c r="E103" i="6" s="1"/>
  <c r="F103" i="6" s="1"/>
  <c r="H107" i="8" l="1"/>
  <c r="I107" i="8" s="1"/>
  <c r="D108" i="8"/>
  <c r="C108" i="8" s="1"/>
  <c r="F108" i="8"/>
  <c r="D104" i="6"/>
  <c r="E104" i="6" s="1"/>
  <c r="F104" i="6" s="1"/>
  <c r="H108" i="8" l="1"/>
  <c r="I108" i="8" s="1"/>
  <c r="D109" i="8"/>
  <c r="C109" i="8" s="1"/>
  <c r="F109" i="8"/>
  <c r="D105" i="6"/>
  <c r="E105" i="6" s="1"/>
  <c r="F105" i="6" s="1"/>
  <c r="H109" i="8" l="1"/>
  <c r="I109" i="8" s="1"/>
  <c r="F110" i="8"/>
  <c r="D110" i="8"/>
  <c r="C110" i="8" s="1"/>
  <c r="D106" i="6"/>
  <c r="E106" i="6" s="1"/>
  <c r="F106" i="6" s="1"/>
  <c r="H110" i="8" l="1"/>
  <c r="I110" i="8" s="1"/>
  <c r="F111" i="8"/>
  <c r="D111" i="8"/>
  <c r="C111" i="8" s="1"/>
  <c r="D107" i="6"/>
  <c r="E107" i="6" s="1"/>
  <c r="F107" i="6" s="1"/>
  <c r="H111" i="8" l="1"/>
  <c r="I111" i="8" s="1"/>
  <c r="D112" i="8"/>
  <c r="C112" i="8" s="1"/>
  <c r="F112" i="8"/>
  <c r="D108" i="6"/>
  <c r="E108" i="6" s="1"/>
  <c r="F108" i="6" s="1"/>
  <c r="H112" i="8" l="1"/>
  <c r="I112" i="8" s="1"/>
  <c r="F113" i="8"/>
  <c r="D113" i="8"/>
  <c r="C113" i="8" s="1"/>
  <c r="D109" i="6"/>
  <c r="E109" i="6" s="1"/>
  <c r="F109" i="6" s="1"/>
  <c r="F16" i="13" s="1"/>
  <c r="G16" i="13" s="1"/>
  <c r="E20" i="19" s="1"/>
  <c r="H113" i="8" l="1"/>
  <c r="I113" i="8" s="1"/>
  <c r="F114" i="8"/>
  <c r="D114" i="8"/>
  <c r="C114" i="8" s="1"/>
  <c r="D110" i="6"/>
  <c r="E110" i="6" s="1"/>
  <c r="F110" i="6" s="1"/>
  <c r="H114" i="8" l="1"/>
  <c r="I114" i="8" s="1"/>
  <c r="F115" i="8"/>
  <c r="D115" i="8"/>
  <c r="C115" i="8" s="1"/>
  <c r="D111" i="6"/>
  <c r="E111" i="6" s="1"/>
  <c r="F111" i="6" s="1"/>
  <c r="H115" i="8" l="1"/>
  <c r="I115" i="8" s="1"/>
  <c r="D116" i="8"/>
  <c r="C116" i="8" s="1"/>
  <c r="F116" i="8"/>
  <c r="D112" i="6"/>
  <c r="E112" i="6" s="1"/>
  <c r="F112" i="6" s="1"/>
  <c r="H116" i="8" l="1"/>
  <c r="I116" i="8" s="1"/>
  <c r="F117" i="8"/>
  <c r="D117" i="8"/>
  <c r="C117" i="8" s="1"/>
  <c r="D113" i="6"/>
  <c r="E113" i="6" s="1"/>
  <c r="F113" i="6" s="1"/>
  <c r="H117" i="8" l="1"/>
  <c r="I117" i="8" s="1"/>
  <c r="F118" i="8"/>
  <c r="D118" i="8"/>
  <c r="C118" i="8" s="1"/>
  <c r="D114" i="6"/>
  <c r="E114" i="6" s="1"/>
  <c r="F114" i="6" s="1"/>
  <c r="H118" i="8" l="1"/>
  <c r="I118" i="8" s="1"/>
  <c r="D119" i="8"/>
  <c r="C119" i="8" s="1"/>
  <c r="F119" i="8"/>
  <c r="D115" i="6"/>
  <c r="E115" i="6" s="1"/>
  <c r="F115" i="6" s="1"/>
  <c r="H119" i="8" l="1"/>
  <c r="I119" i="8" s="1"/>
  <c r="F120" i="8"/>
  <c r="D120" i="8"/>
  <c r="C120" i="8" s="1"/>
  <c r="D116" i="6"/>
  <c r="E116" i="6" s="1"/>
  <c r="F116" i="6" s="1"/>
  <c r="H120" i="8" l="1"/>
  <c r="I120" i="8" s="1"/>
  <c r="D121" i="8"/>
  <c r="C121" i="8" s="1"/>
  <c r="F121" i="8"/>
  <c r="D117" i="6"/>
  <c r="E117" i="6" s="1"/>
  <c r="F117" i="6" s="1"/>
  <c r="H121" i="8" l="1"/>
  <c r="I121" i="8" s="1"/>
  <c r="F122" i="8"/>
  <c r="D122" i="8"/>
  <c r="C122" i="8" s="1"/>
  <c r="D118" i="6"/>
  <c r="E118" i="6" s="1"/>
  <c r="F118" i="6" s="1"/>
  <c r="H122" i="8" l="1"/>
  <c r="I122" i="8" s="1"/>
  <c r="F123" i="8"/>
  <c r="D123" i="8"/>
  <c r="C123" i="8" s="1"/>
  <c r="D119" i="6"/>
  <c r="E119" i="6" s="1"/>
  <c r="F119" i="6" s="1"/>
  <c r="H123" i="8" l="1"/>
  <c r="I123" i="8" s="1"/>
  <c r="D124" i="8"/>
  <c r="C124" i="8" s="1"/>
  <c r="F124" i="8"/>
  <c r="D120" i="6"/>
  <c r="E120" i="6" s="1"/>
  <c r="F120" i="6" s="1"/>
  <c r="H124" i="8" l="1"/>
  <c r="I124" i="8" s="1"/>
  <c r="D125" i="8"/>
  <c r="C125" i="8" s="1"/>
  <c r="F125" i="8"/>
  <c r="D121" i="6"/>
  <c r="E121" i="6" s="1"/>
  <c r="F121" i="6" s="1"/>
  <c r="F17" i="13" s="1"/>
  <c r="G17" i="13" s="1"/>
  <c r="E21" i="19" s="1"/>
  <c r="H125" i="8" l="1"/>
  <c r="I125" i="8" s="1"/>
  <c r="D126" i="8"/>
  <c r="C126" i="8" s="1"/>
  <c r="F126" i="8"/>
  <c r="D122" i="6"/>
  <c r="E122" i="6" s="1"/>
  <c r="F122" i="6" s="1"/>
  <c r="H126" i="8" l="1"/>
  <c r="I126" i="8" s="1"/>
  <c r="F127" i="8"/>
  <c r="D127" i="8"/>
  <c r="C127" i="8" s="1"/>
  <c r="D123" i="6"/>
  <c r="E123" i="6" s="1"/>
  <c r="F123" i="6" s="1"/>
  <c r="H127" i="8" l="1"/>
  <c r="I127" i="8" s="1"/>
  <c r="D128" i="8"/>
  <c r="C128" i="8" s="1"/>
  <c r="F128" i="8"/>
  <c r="D124" i="6"/>
  <c r="E124" i="6" s="1"/>
  <c r="F124" i="6" s="1"/>
  <c r="H128" i="8" l="1"/>
  <c r="I128" i="8" s="1"/>
  <c r="F129" i="8"/>
  <c r="D129" i="8"/>
  <c r="C129" i="8" s="1"/>
  <c r="D125" i="6"/>
  <c r="E125" i="6" s="1"/>
  <c r="F125" i="6" s="1"/>
  <c r="H129" i="8" l="1"/>
  <c r="I129" i="8" s="1"/>
  <c r="D130" i="8"/>
  <c r="C130" i="8" s="1"/>
  <c r="F130" i="8"/>
  <c r="D126" i="6"/>
  <c r="E126" i="6" s="1"/>
  <c r="F126" i="6" s="1"/>
  <c r="H130" i="8" l="1"/>
  <c r="I130" i="8" s="1"/>
  <c r="F131" i="8"/>
  <c r="D131" i="8"/>
  <c r="C131" i="8" s="1"/>
  <c r="D127" i="6"/>
  <c r="E127" i="6" s="1"/>
  <c r="F127" i="6" s="1"/>
  <c r="H131" i="8" l="1"/>
  <c r="I131" i="8" s="1"/>
  <c r="F132" i="8"/>
  <c r="D132" i="8"/>
  <c r="C132" i="8" s="1"/>
  <c r="D128" i="6"/>
  <c r="E128" i="6" s="1"/>
  <c r="F128" i="6" s="1"/>
  <c r="H132" i="8" l="1"/>
  <c r="I132" i="8" s="1"/>
  <c r="F133" i="8"/>
  <c r="D133" i="8"/>
  <c r="C133" i="8" s="1"/>
  <c r="D129" i="6"/>
  <c r="E129" i="6" s="1"/>
  <c r="F129" i="6" s="1"/>
  <c r="H133" i="8" l="1"/>
  <c r="I133" i="8" s="1"/>
  <c r="F134" i="8"/>
  <c r="D134" i="8"/>
  <c r="C134" i="8" s="1"/>
  <c r="D130" i="6"/>
  <c r="E130" i="6" s="1"/>
  <c r="F130" i="6" s="1"/>
  <c r="H134" i="8" l="1"/>
  <c r="I134" i="8" s="1"/>
  <c r="F135" i="8"/>
  <c r="D135" i="8"/>
  <c r="C135" i="8" s="1"/>
  <c r="D131" i="6"/>
  <c r="E131" i="6" s="1"/>
  <c r="F131" i="6" s="1"/>
  <c r="H135" i="8" l="1"/>
  <c r="I135" i="8" s="1"/>
  <c r="D136" i="8"/>
  <c r="C136" i="8" s="1"/>
  <c r="F136" i="8"/>
  <c r="D132" i="6"/>
  <c r="E132" i="6" s="1"/>
  <c r="F132" i="6" s="1"/>
  <c r="H136" i="8" l="1"/>
  <c r="I136" i="8" s="1"/>
  <c r="D137" i="8"/>
  <c r="C137" i="8" s="1"/>
  <c r="F137" i="8"/>
  <c r="D133" i="6"/>
  <c r="E133" i="6" s="1"/>
  <c r="F133" i="6" s="1"/>
  <c r="F18" i="13" s="1"/>
  <c r="G18" i="13" s="1"/>
  <c r="E22" i="19" s="1"/>
  <c r="H137" i="8" l="1"/>
  <c r="I137" i="8" s="1"/>
  <c r="D138" i="8"/>
  <c r="C138" i="8" s="1"/>
  <c r="F138" i="8"/>
  <c r="D134" i="6"/>
  <c r="E134" i="6" s="1"/>
  <c r="F134" i="6" s="1"/>
  <c r="H138" i="8" l="1"/>
  <c r="I138" i="8" s="1"/>
  <c r="D139" i="8"/>
  <c r="C139" i="8" s="1"/>
  <c r="F139" i="8"/>
  <c r="D135" i="6"/>
  <c r="E135" i="6" s="1"/>
  <c r="F135" i="6" s="1"/>
  <c r="H139" i="8" l="1"/>
  <c r="I139" i="8" s="1"/>
  <c r="D140" i="8"/>
  <c r="C140" i="8" s="1"/>
  <c r="F140" i="8"/>
  <c r="D136" i="6"/>
  <c r="E136" i="6" s="1"/>
  <c r="F136" i="6" s="1"/>
  <c r="H140" i="8" l="1"/>
  <c r="I140" i="8" s="1"/>
  <c r="F141" i="8"/>
  <c r="D141" i="8"/>
  <c r="C141" i="8" s="1"/>
  <c r="D137" i="6"/>
  <c r="E137" i="6" s="1"/>
  <c r="F137" i="6" s="1"/>
  <c r="H141" i="8" l="1"/>
  <c r="I141" i="8" s="1"/>
  <c r="F142" i="8"/>
  <c r="D142" i="8"/>
  <c r="C142" i="8" s="1"/>
  <c r="D138" i="6"/>
  <c r="E138" i="6" s="1"/>
  <c r="F138" i="6" s="1"/>
  <c r="H142" i="8" l="1"/>
  <c r="I142" i="8" s="1"/>
  <c r="F143" i="8"/>
  <c r="D143" i="8"/>
  <c r="C143" i="8" s="1"/>
  <c r="D139" i="6"/>
  <c r="E139" i="6" s="1"/>
  <c r="F139" i="6" s="1"/>
  <c r="H143" i="8" l="1"/>
  <c r="I143" i="8" s="1"/>
  <c r="D144" i="8"/>
  <c r="C144" i="8" s="1"/>
  <c r="F144" i="8"/>
  <c r="D140" i="6"/>
  <c r="E140" i="6" s="1"/>
  <c r="F140" i="6" s="1"/>
  <c r="H144" i="8" l="1"/>
  <c r="I144" i="8" s="1"/>
  <c r="D145" i="8"/>
  <c r="C145" i="8" s="1"/>
  <c r="F145" i="8"/>
  <c r="D141" i="6"/>
  <c r="E141" i="6" s="1"/>
  <c r="F141" i="6" s="1"/>
  <c r="H145" i="8" l="1"/>
  <c r="I145" i="8" s="1"/>
  <c r="D146" i="8"/>
  <c r="C146" i="8" s="1"/>
  <c r="F146" i="8"/>
  <c r="D142" i="6"/>
  <c r="E142" i="6" s="1"/>
  <c r="F142" i="6" s="1"/>
  <c r="H146" i="8" l="1"/>
  <c r="I146" i="8" s="1"/>
  <c r="F147" i="8"/>
  <c r="D147" i="8"/>
  <c r="C147" i="8" s="1"/>
  <c r="D143" i="6"/>
  <c r="E143" i="6" s="1"/>
  <c r="F143" i="6" s="1"/>
  <c r="H147" i="8" l="1"/>
  <c r="I147" i="8" s="1"/>
  <c r="F148" i="8"/>
  <c r="D148" i="8"/>
  <c r="C148" i="8" s="1"/>
  <c r="D144" i="6"/>
  <c r="E144" i="6" s="1"/>
  <c r="F144" i="6" s="1"/>
  <c r="H148" i="8" l="1"/>
  <c r="I148" i="8" s="1"/>
  <c r="F149" i="8"/>
  <c r="D149" i="8"/>
  <c r="C149" i="8" s="1"/>
  <c r="D145" i="6"/>
  <c r="E145" i="6" s="1"/>
  <c r="F145" i="6" s="1"/>
  <c r="F19" i="13" s="1"/>
  <c r="G19" i="13" s="1"/>
  <c r="E23" i="19" s="1"/>
  <c r="H149" i="8" l="1"/>
  <c r="I149" i="8" s="1"/>
  <c r="D150" i="8"/>
  <c r="C150" i="8" s="1"/>
  <c r="F150" i="8"/>
  <c r="D146" i="6"/>
  <c r="E146" i="6" s="1"/>
  <c r="F146" i="6" s="1"/>
  <c r="H150" i="8" l="1"/>
  <c r="I150" i="8" s="1"/>
  <c r="D151" i="8"/>
  <c r="C151" i="8" s="1"/>
  <c r="F151" i="8"/>
  <c r="D147" i="6"/>
  <c r="E147" i="6" s="1"/>
  <c r="F147" i="6" s="1"/>
  <c r="H151" i="8" l="1"/>
  <c r="I151" i="8" s="1"/>
  <c r="D152" i="8"/>
  <c r="C152" i="8" s="1"/>
  <c r="F152" i="8"/>
  <c r="D148" i="6"/>
  <c r="E148" i="6" s="1"/>
  <c r="F148" i="6" s="1"/>
  <c r="H152" i="8" l="1"/>
  <c r="I152" i="8" s="1"/>
  <c r="F153" i="8"/>
  <c r="D153" i="8"/>
  <c r="C153" i="8" s="1"/>
  <c r="D149" i="6"/>
  <c r="E149" i="6" s="1"/>
  <c r="F149" i="6" s="1"/>
  <c r="H153" i="8" l="1"/>
  <c r="I153" i="8" s="1"/>
  <c r="D154" i="8"/>
  <c r="C154" i="8" s="1"/>
  <c r="F154" i="8"/>
  <c r="D150" i="6"/>
  <c r="E150" i="6" s="1"/>
  <c r="F150" i="6" s="1"/>
  <c r="H154" i="8" l="1"/>
  <c r="I154" i="8" s="1"/>
  <c r="D155" i="8"/>
  <c r="C155" i="8" s="1"/>
  <c r="H155" i="8" s="1"/>
  <c r="I155" i="8" s="1"/>
  <c r="F155" i="8"/>
  <c r="D151" i="6"/>
  <c r="E151" i="6" s="1"/>
  <c r="F151" i="6" s="1"/>
  <c r="D156" i="8" l="1"/>
  <c r="C156" i="8" s="1"/>
  <c r="F156" i="8"/>
  <c r="D152" i="6"/>
  <c r="E152" i="6" s="1"/>
  <c r="F152" i="6" s="1"/>
  <c r="H156" i="8" l="1"/>
  <c r="I156" i="8" s="1"/>
  <c r="F157" i="8"/>
  <c r="D157" i="8"/>
  <c r="C157" i="8" s="1"/>
  <c r="D153" i="6"/>
  <c r="E153" i="6" s="1"/>
  <c r="F153" i="6" s="1"/>
  <c r="H157" i="8" l="1"/>
  <c r="I157" i="8" s="1"/>
  <c r="F158" i="8"/>
  <c r="D158" i="8"/>
  <c r="C158" i="8" s="1"/>
  <c r="D154" i="6"/>
  <c r="E154" i="6" s="1"/>
  <c r="F154" i="6" s="1"/>
  <c r="H158" i="8" l="1"/>
  <c r="I158" i="8" s="1"/>
  <c r="F159" i="8"/>
  <c r="D159" i="8"/>
  <c r="C159" i="8" s="1"/>
  <c r="D155" i="6"/>
  <c r="E155" i="6" s="1"/>
  <c r="F155" i="6" s="1"/>
  <c r="H159" i="8" l="1"/>
  <c r="I159" i="8" s="1"/>
  <c r="D160" i="8"/>
  <c r="C160" i="8" s="1"/>
  <c r="F160" i="8"/>
  <c r="D156" i="6"/>
  <c r="E156" i="6" s="1"/>
  <c r="F156" i="6" s="1"/>
  <c r="H160" i="8" l="1"/>
  <c r="I160" i="8" s="1"/>
  <c r="D161" i="8"/>
  <c r="C161" i="8" s="1"/>
  <c r="F161" i="8"/>
  <c r="D157" i="6"/>
  <c r="E157" i="6" s="1"/>
  <c r="F157" i="6" s="1"/>
  <c r="F20" i="13" s="1"/>
  <c r="G20" i="13" s="1"/>
  <c r="E24" i="19" s="1"/>
  <c r="H161" i="8" l="1"/>
  <c r="I161" i="8" s="1"/>
  <c r="D162" i="8"/>
  <c r="C162" i="8" s="1"/>
  <c r="F162" i="8"/>
  <c r="D158" i="6"/>
  <c r="E158" i="6" s="1"/>
  <c r="F158" i="6" s="1"/>
  <c r="H162" i="8" l="1"/>
  <c r="I162" i="8" s="1"/>
  <c r="F163" i="8"/>
  <c r="D163" i="8"/>
  <c r="C163" i="8" s="1"/>
  <c r="D159" i="6"/>
  <c r="E159" i="6" s="1"/>
  <c r="F159" i="6" s="1"/>
  <c r="H163" i="8" l="1"/>
  <c r="I163" i="8" s="1"/>
  <c r="F164" i="8"/>
  <c r="D164" i="8"/>
  <c r="C164" i="8" s="1"/>
  <c r="D160" i="6"/>
  <c r="E160" i="6" s="1"/>
  <c r="F160" i="6" s="1"/>
  <c r="H164" i="8" l="1"/>
  <c r="I164" i="8" s="1"/>
  <c r="F165" i="8"/>
  <c r="D165" i="8"/>
  <c r="C165" i="8" s="1"/>
  <c r="D161" i="6"/>
  <c r="E161" i="6" s="1"/>
  <c r="F161" i="6" s="1"/>
  <c r="H165" i="8" l="1"/>
  <c r="I165" i="8" s="1"/>
  <c r="F166" i="8"/>
  <c r="D166" i="8"/>
  <c r="C166" i="8" s="1"/>
  <c r="D162" i="6"/>
  <c r="E162" i="6" s="1"/>
  <c r="F162" i="6" s="1"/>
  <c r="H166" i="8" l="1"/>
  <c r="I166" i="8" s="1"/>
  <c r="D167" i="8"/>
  <c r="C167" i="8" s="1"/>
  <c r="F167" i="8"/>
  <c r="D163" i="6"/>
  <c r="E163" i="6" s="1"/>
  <c r="F163" i="6" s="1"/>
  <c r="H167" i="8" l="1"/>
  <c r="I167" i="8" s="1"/>
  <c r="F168" i="8"/>
  <c r="D168" i="8"/>
  <c r="C168" i="8" s="1"/>
  <c r="D164" i="6"/>
  <c r="E164" i="6" s="1"/>
  <c r="F164" i="6" s="1"/>
  <c r="H168" i="8" l="1"/>
  <c r="I168" i="8" s="1"/>
  <c r="D169" i="8"/>
  <c r="C169" i="8" s="1"/>
  <c r="F169" i="8"/>
  <c r="D165" i="6"/>
  <c r="E165" i="6" s="1"/>
  <c r="F165" i="6" s="1"/>
  <c r="H169" i="8" l="1"/>
  <c r="I169" i="8" s="1"/>
  <c r="D170" i="8"/>
  <c r="C170" i="8" s="1"/>
  <c r="F170" i="8"/>
  <c r="D166" i="6"/>
  <c r="E166" i="6" s="1"/>
  <c r="F166" i="6" s="1"/>
  <c r="H170" i="8" l="1"/>
  <c r="I170" i="8" s="1"/>
  <c r="F171" i="8"/>
  <c r="D171" i="8"/>
  <c r="C171" i="8" s="1"/>
  <c r="H171" i="8" s="1"/>
  <c r="I171" i="8" s="1"/>
  <c r="D167" i="6"/>
  <c r="E167" i="6" s="1"/>
  <c r="F167" i="6" s="1"/>
  <c r="D172" i="8" l="1"/>
  <c r="C172" i="8" s="1"/>
  <c r="F172" i="8"/>
  <c r="D168" i="6"/>
  <c r="E168" i="6" s="1"/>
  <c r="F168" i="6" s="1"/>
  <c r="H172" i="8" l="1"/>
  <c r="I172" i="8" s="1"/>
  <c r="F173" i="8"/>
  <c r="D173" i="8"/>
  <c r="C173" i="8" s="1"/>
  <c r="D169" i="6"/>
  <c r="E169" i="6" s="1"/>
  <c r="F169" i="6" s="1"/>
  <c r="F21" i="13" s="1"/>
  <c r="G21" i="13" s="1"/>
  <c r="E25" i="19" s="1"/>
  <c r="H173" i="8" l="1"/>
  <c r="I173" i="8" s="1"/>
  <c r="D174" i="8"/>
  <c r="C174" i="8" s="1"/>
  <c r="F174" i="8"/>
  <c r="D170" i="6"/>
  <c r="E170" i="6" s="1"/>
  <c r="F170" i="6" s="1"/>
  <c r="H174" i="8" l="1"/>
  <c r="I174" i="8" s="1"/>
  <c r="F175" i="8"/>
  <c r="D175" i="8"/>
  <c r="C175" i="8" s="1"/>
  <c r="D171" i="6"/>
  <c r="E171" i="6" s="1"/>
  <c r="F171" i="6" s="1"/>
  <c r="H175" i="8" l="1"/>
  <c r="I175" i="8" s="1"/>
  <c r="D176" i="8"/>
  <c r="C176" i="8" s="1"/>
  <c r="F176" i="8"/>
  <c r="D172" i="6"/>
  <c r="E172" i="6" s="1"/>
  <c r="F172" i="6" s="1"/>
  <c r="H176" i="8" l="1"/>
  <c r="I176" i="8" s="1"/>
  <c r="D177" i="8"/>
  <c r="C177" i="8" s="1"/>
  <c r="F177" i="8"/>
  <c r="D173" i="6"/>
  <c r="E173" i="6" s="1"/>
  <c r="F173" i="6" s="1"/>
  <c r="H177" i="8" l="1"/>
  <c r="I177" i="8" s="1"/>
  <c r="F178" i="8"/>
  <c r="D178" i="8"/>
  <c r="C178" i="8" s="1"/>
  <c r="D174" i="6"/>
  <c r="E174" i="6" s="1"/>
  <c r="F174" i="6" s="1"/>
  <c r="H178" i="8" l="1"/>
  <c r="I178" i="8" s="1"/>
  <c r="F179" i="8"/>
  <c r="D179" i="8"/>
  <c r="C179" i="8" s="1"/>
  <c r="D175" i="6"/>
  <c r="E175" i="6" s="1"/>
  <c r="F175" i="6" s="1"/>
  <c r="H179" i="8" l="1"/>
  <c r="I179" i="8" s="1"/>
  <c r="D180" i="8"/>
  <c r="C180" i="8" s="1"/>
  <c r="F180" i="8"/>
  <c r="D176" i="6"/>
  <c r="E176" i="6" s="1"/>
  <c r="F176" i="6" s="1"/>
  <c r="H180" i="8" l="1"/>
  <c r="I180" i="8" s="1"/>
  <c r="D181" i="8"/>
  <c r="C181" i="8" s="1"/>
  <c r="F181" i="8"/>
  <c r="D177" i="6"/>
  <c r="E177" i="6" s="1"/>
  <c r="F177" i="6" s="1"/>
  <c r="H181" i="8" l="1"/>
  <c r="I181" i="8" s="1"/>
  <c r="F182" i="8"/>
  <c r="D182" i="8"/>
  <c r="C182" i="8" s="1"/>
  <c r="D178" i="6"/>
  <c r="E178" i="6" s="1"/>
  <c r="F178" i="6" s="1"/>
  <c r="H182" i="8" l="1"/>
  <c r="I182" i="8" s="1"/>
  <c r="D183" i="8"/>
  <c r="C183" i="8" s="1"/>
  <c r="F183" i="8"/>
  <c r="D179" i="6"/>
  <c r="E179" i="6" s="1"/>
  <c r="F179" i="6" s="1"/>
  <c r="H183" i="8" l="1"/>
  <c r="I183" i="8" s="1"/>
  <c r="F184" i="8"/>
  <c r="D184" i="8"/>
  <c r="C184" i="8" s="1"/>
  <c r="H184" i="8" s="1"/>
  <c r="I184" i="8" s="1"/>
  <c r="D180" i="6"/>
  <c r="E180" i="6" s="1"/>
  <c r="F180" i="6" s="1"/>
  <c r="F185" i="8" l="1"/>
  <c r="D185" i="8"/>
  <c r="C185" i="8" s="1"/>
  <c r="D181" i="6"/>
  <c r="E181" i="6" s="1"/>
  <c r="F181" i="6" s="1"/>
  <c r="F22" i="13" s="1"/>
  <c r="G22" i="13" s="1"/>
  <c r="E26" i="19" s="1"/>
  <c r="H185" i="8" l="1"/>
  <c r="I185" i="8" s="1"/>
  <c r="D186" i="8"/>
  <c r="C186" i="8" s="1"/>
  <c r="F186" i="8"/>
  <c r="D182" i="6"/>
  <c r="E182" i="6" s="1"/>
  <c r="F182" i="6" s="1"/>
  <c r="H186" i="8" l="1"/>
  <c r="I186" i="8" s="1"/>
  <c r="D187" i="8"/>
  <c r="C187" i="8" s="1"/>
  <c r="F187" i="8"/>
  <c r="D183" i="6"/>
  <c r="E183" i="6" s="1"/>
  <c r="F183" i="6" s="1"/>
  <c r="H187" i="8" l="1"/>
  <c r="I187" i="8" s="1"/>
  <c r="D188" i="8"/>
  <c r="C188" i="8" s="1"/>
  <c r="F188" i="8"/>
  <c r="D184" i="6"/>
  <c r="E184" i="6" s="1"/>
  <c r="F184" i="6" s="1"/>
  <c r="H188" i="8" l="1"/>
  <c r="I188" i="8" s="1"/>
  <c r="D189" i="8"/>
  <c r="C189" i="8" s="1"/>
  <c r="F189" i="8"/>
  <c r="D185" i="6"/>
  <c r="E185" i="6" s="1"/>
  <c r="F185" i="6" s="1"/>
  <c r="H189" i="8" l="1"/>
  <c r="I189" i="8" s="1"/>
  <c r="F190" i="8"/>
  <c r="D190" i="8"/>
  <c r="C190" i="8" s="1"/>
  <c r="D186" i="6"/>
  <c r="E186" i="6" s="1"/>
  <c r="F186" i="6" s="1"/>
  <c r="H190" i="8" l="1"/>
  <c r="I190" i="8" s="1"/>
  <c r="D191" i="8"/>
  <c r="C191" i="8" s="1"/>
  <c r="F191" i="8"/>
  <c r="D187" i="6"/>
  <c r="E187" i="6" s="1"/>
  <c r="F187" i="6" s="1"/>
  <c r="H191" i="8" l="1"/>
  <c r="I191" i="8" s="1"/>
  <c r="D192" i="8"/>
  <c r="C192" i="8" s="1"/>
  <c r="F192" i="8"/>
  <c r="D188" i="6"/>
  <c r="E188" i="6" s="1"/>
  <c r="F188" i="6" s="1"/>
  <c r="H192" i="8" l="1"/>
  <c r="I192" i="8" s="1"/>
  <c r="F193" i="8"/>
  <c r="D193" i="8"/>
  <c r="C193" i="8" s="1"/>
  <c r="D189" i="6"/>
  <c r="E189" i="6" s="1"/>
  <c r="F189" i="6" s="1"/>
  <c r="H193" i="8" l="1"/>
  <c r="I193" i="8" s="1"/>
  <c r="F194" i="8"/>
  <c r="D194" i="8"/>
  <c r="C194" i="8" s="1"/>
  <c r="H194" i="8" s="1"/>
  <c r="I194" i="8" s="1"/>
  <c r="D190" i="6"/>
  <c r="E190" i="6" s="1"/>
  <c r="F190" i="6" s="1"/>
  <c r="F195" i="8" l="1"/>
  <c r="D195" i="8"/>
  <c r="C195" i="8" s="1"/>
  <c r="D191" i="6"/>
  <c r="E191" i="6" s="1"/>
  <c r="F191" i="6" s="1"/>
  <c r="H195" i="8" l="1"/>
  <c r="I195" i="8" s="1"/>
  <c r="D196" i="8"/>
  <c r="C196" i="8" s="1"/>
  <c r="F196" i="8"/>
  <c r="D192" i="6"/>
  <c r="E192" i="6" s="1"/>
  <c r="F192" i="6" s="1"/>
  <c r="H196" i="8" l="1"/>
  <c r="I196" i="8" s="1"/>
  <c r="F197" i="8"/>
  <c r="D197" i="8"/>
  <c r="C197" i="8" s="1"/>
  <c r="D193" i="6"/>
  <c r="E193" i="6" s="1"/>
  <c r="F193" i="6" s="1"/>
  <c r="F23" i="13" s="1"/>
  <c r="G23" i="13" s="1"/>
  <c r="E27" i="19" s="1"/>
  <c r="H197" i="8" l="1"/>
  <c r="I197" i="8" s="1"/>
  <c r="D198" i="8"/>
  <c r="C198" i="8" s="1"/>
  <c r="F198" i="8"/>
  <c r="D194" i="6"/>
  <c r="E194" i="6" s="1"/>
  <c r="F194" i="6" s="1"/>
  <c r="H198" i="8" l="1"/>
  <c r="I198" i="8" s="1"/>
  <c r="D199" i="8"/>
  <c r="C199" i="8" s="1"/>
  <c r="F199" i="8"/>
  <c r="D195" i="6"/>
  <c r="E195" i="6" s="1"/>
  <c r="F195" i="6" s="1"/>
  <c r="H199" i="8" l="1"/>
  <c r="I199" i="8" s="1"/>
  <c r="D200" i="8"/>
  <c r="C200" i="8" s="1"/>
  <c r="F200" i="8"/>
  <c r="D196" i="6"/>
  <c r="E196" i="6" s="1"/>
  <c r="F196" i="6" s="1"/>
  <c r="H200" i="8" l="1"/>
  <c r="I200" i="8" s="1"/>
  <c r="F201" i="8"/>
  <c r="D201" i="8"/>
  <c r="C201" i="8" s="1"/>
  <c r="D197" i="6"/>
  <c r="E197" i="6" s="1"/>
  <c r="F197" i="6" s="1"/>
  <c r="H201" i="8" l="1"/>
  <c r="I201" i="8" s="1"/>
  <c r="F202" i="8"/>
  <c r="D202" i="8"/>
  <c r="C202" i="8" s="1"/>
  <c r="D198" i="6"/>
  <c r="E198" i="6" s="1"/>
  <c r="F198" i="6" s="1"/>
  <c r="H202" i="8" l="1"/>
  <c r="I202" i="8" s="1"/>
  <c r="F203" i="8"/>
  <c r="D203" i="8"/>
  <c r="C203" i="8" s="1"/>
  <c r="D199" i="6"/>
  <c r="E199" i="6" s="1"/>
  <c r="F199" i="6" s="1"/>
  <c r="H203" i="8" l="1"/>
  <c r="I203" i="8" s="1"/>
  <c r="F204" i="8"/>
  <c r="D204" i="8"/>
  <c r="C204" i="8" s="1"/>
  <c r="D200" i="6"/>
  <c r="E200" i="6" s="1"/>
  <c r="F200" i="6" s="1"/>
  <c r="H204" i="8" l="1"/>
  <c r="I204" i="8" s="1"/>
  <c r="D205" i="8"/>
  <c r="C205" i="8" s="1"/>
  <c r="F205" i="8"/>
  <c r="D201" i="6"/>
  <c r="E201" i="6" s="1"/>
  <c r="F201" i="6" s="1"/>
  <c r="H205" i="8" l="1"/>
  <c r="I205" i="8" s="1"/>
  <c r="D206" i="8"/>
  <c r="C206" i="8" s="1"/>
  <c r="F206" i="8"/>
  <c r="D202" i="6"/>
  <c r="E202" i="6" s="1"/>
  <c r="F202" i="6" s="1"/>
  <c r="H206" i="8" l="1"/>
  <c r="I206" i="8" s="1"/>
  <c r="F207" i="8"/>
  <c r="D207" i="8"/>
  <c r="C207" i="8" s="1"/>
  <c r="D203" i="6"/>
  <c r="E203" i="6" s="1"/>
  <c r="F203" i="6" s="1"/>
  <c r="H207" i="8" l="1"/>
  <c r="I207" i="8" s="1"/>
  <c r="D208" i="8"/>
  <c r="C208" i="8" s="1"/>
  <c r="F208" i="8"/>
  <c r="D204" i="6"/>
  <c r="E204" i="6" s="1"/>
  <c r="F204" i="6" s="1"/>
  <c r="H208" i="8" l="1"/>
  <c r="I208" i="8" s="1"/>
  <c r="D209" i="8"/>
  <c r="C209" i="8" s="1"/>
  <c r="F209" i="8"/>
  <c r="D205" i="6"/>
  <c r="E205" i="6" s="1"/>
  <c r="F205" i="6" s="1"/>
  <c r="F24" i="13" s="1"/>
  <c r="G24" i="13" s="1"/>
  <c r="E28" i="19" s="1"/>
  <c r="H209" i="8" l="1"/>
  <c r="I209" i="8" s="1"/>
  <c r="D210" i="8"/>
  <c r="C210" i="8" s="1"/>
  <c r="H210" i="8" s="1"/>
  <c r="I210" i="8" s="1"/>
  <c r="F210" i="8"/>
  <c r="D206" i="6"/>
  <c r="E206" i="6" s="1"/>
  <c r="F206" i="6" s="1"/>
  <c r="D211" i="8" l="1"/>
  <c r="C211" i="8" s="1"/>
  <c r="F211" i="8"/>
  <c r="D207" i="6"/>
  <c r="E207" i="6" s="1"/>
  <c r="F207" i="6" s="1"/>
  <c r="H211" i="8" l="1"/>
  <c r="I211" i="8" s="1"/>
  <c r="D212" i="8"/>
  <c r="C212" i="8" s="1"/>
  <c r="F212" i="8"/>
  <c r="D208" i="6"/>
  <c r="E208" i="6" s="1"/>
  <c r="F208" i="6" s="1"/>
  <c r="H212" i="8" l="1"/>
  <c r="I212" i="8" s="1"/>
  <c r="D213" i="8"/>
  <c r="C213" i="8" s="1"/>
  <c r="F213" i="8"/>
  <c r="D209" i="6"/>
  <c r="E209" i="6" s="1"/>
  <c r="F209" i="6" s="1"/>
  <c r="H213" i="8" l="1"/>
  <c r="I213" i="8" s="1"/>
  <c r="F214" i="8"/>
  <c r="D214" i="8"/>
  <c r="C214" i="8" s="1"/>
  <c r="D210" i="6"/>
  <c r="E210" i="6" s="1"/>
  <c r="F210" i="6" s="1"/>
  <c r="H214" i="8" l="1"/>
  <c r="I214" i="8" s="1"/>
  <c r="F215" i="8"/>
  <c r="D215" i="8"/>
  <c r="C215" i="8" s="1"/>
  <c r="D211" i="6"/>
  <c r="E211" i="6" s="1"/>
  <c r="F211" i="6" s="1"/>
  <c r="H215" i="8" l="1"/>
  <c r="I215" i="8" s="1"/>
  <c r="D216" i="8"/>
  <c r="C216" i="8" s="1"/>
  <c r="F216" i="8"/>
  <c r="D212" i="6"/>
  <c r="E212" i="6" s="1"/>
  <c r="F212" i="6" s="1"/>
  <c r="H216" i="8" l="1"/>
  <c r="I216" i="8" s="1"/>
  <c r="D217" i="8"/>
  <c r="C217" i="8" s="1"/>
  <c r="F217" i="8"/>
  <c r="D213" i="6"/>
  <c r="E213" i="6" s="1"/>
  <c r="F213" i="6" s="1"/>
  <c r="H217" i="8" l="1"/>
  <c r="I217" i="8" s="1"/>
  <c r="F218" i="8"/>
  <c r="D218" i="8"/>
  <c r="C218" i="8" s="1"/>
  <c r="D214" i="6"/>
  <c r="E214" i="6" s="1"/>
  <c r="F214" i="6" s="1"/>
  <c r="H218" i="8" l="1"/>
  <c r="I218" i="8" s="1"/>
  <c r="D219" i="8"/>
  <c r="C219" i="8" s="1"/>
  <c r="F219" i="8"/>
  <c r="D215" i="6"/>
  <c r="E215" i="6" s="1"/>
  <c r="F215" i="6" s="1"/>
  <c r="H219" i="8" l="1"/>
  <c r="I219" i="8" s="1"/>
  <c r="D220" i="8"/>
  <c r="C220" i="8" s="1"/>
  <c r="F220" i="8"/>
  <c r="D216" i="6"/>
  <c r="E216" i="6" s="1"/>
  <c r="F216" i="6" s="1"/>
  <c r="H220" i="8" l="1"/>
  <c r="I220" i="8" s="1"/>
  <c r="D221" i="8"/>
  <c r="C221" i="8" s="1"/>
  <c r="F221" i="8"/>
  <c r="D217" i="6"/>
  <c r="E217" i="6" s="1"/>
  <c r="F217" i="6" s="1"/>
  <c r="F25" i="13" s="1"/>
  <c r="G25" i="13" s="1"/>
  <c r="E29" i="19" s="1"/>
  <c r="H221" i="8" l="1"/>
  <c r="I221" i="8" s="1"/>
  <c r="D222" i="8"/>
  <c r="C222" i="8" s="1"/>
  <c r="F222" i="8"/>
  <c r="D218" i="6"/>
  <c r="E218" i="6" s="1"/>
  <c r="F218" i="6" s="1"/>
  <c r="H222" i="8" l="1"/>
  <c r="I222" i="8" s="1"/>
  <c r="F223" i="8"/>
  <c r="D223" i="8"/>
  <c r="C223" i="8" s="1"/>
  <c r="D219" i="6"/>
  <c r="E219" i="6" s="1"/>
  <c r="F219" i="6" s="1"/>
  <c r="H223" i="8" l="1"/>
  <c r="I223" i="8" s="1"/>
  <c r="D224" i="8"/>
  <c r="C224" i="8" s="1"/>
  <c r="F224" i="8"/>
  <c r="D220" i="6"/>
  <c r="E220" i="6" s="1"/>
  <c r="F220" i="6" s="1"/>
  <c r="H224" i="8" l="1"/>
  <c r="I224" i="8" s="1"/>
  <c r="F225" i="8"/>
  <c r="D225" i="8"/>
  <c r="C225" i="8" s="1"/>
  <c r="D221" i="6"/>
  <c r="E221" i="6" s="1"/>
  <c r="F221" i="6" s="1"/>
  <c r="H225" i="8" l="1"/>
  <c r="I225" i="8" s="1"/>
  <c r="D226" i="8"/>
  <c r="C226" i="8" s="1"/>
  <c r="F226" i="8"/>
  <c r="D222" i="6"/>
  <c r="E222" i="6" s="1"/>
  <c r="F222" i="6" s="1"/>
  <c r="H226" i="8" l="1"/>
  <c r="I226" i="8" s="1"/>
  <c r="F227" i="8"/>
  <c r="D227" i="8"/>
  <c r="C227" i="8" s="1"/>
  <c r="D223" i="6"/>
  <c r="E223" i="6" s="1"/>
  <c r="F223" i="6" s="1"/>
  <c r="H227" i="8" l="1"/>
  <c r="I227" i="8" s="1"/>
  <c r="F228" i="8"/>
  <c r="D228" i="8"/>
  <c r="C228" i="8" s="1"/>
  <c r="D224" i="6"/>
  <c r="E224" i="6" s="1"/>
  <c r="F224" i="6" s="1"/>
  <c r="H228" i="8" l="1"/>
  <c r="I228" i="8" s="1"/>
  <c r="F229" i="8"/>
  <c r="D229" i="8"/>
  <c r="C229" i="8" s="1"/>
  <c r="D225" i="6"/>
  <c r="E225" i="6" s="1"/>
  <c r="F225" i="6" s="1"/>
  <c r="H229" i="8" l="1"/>
  <c r="I229" i="8" s="1"/>
  <c r="F230" i="8"/>
  <c r="D230" i="8"/>
  <c r="C230" i="8" s="1"/>
  <c r="D226" i="6"/>
  <c r="E226" i="6" s="1"/>
  <c r="F226" i="6" s="1"/>
  <c r="H230" i="8" l="1"/>
  <c r="I230" i="8" s="1"/>
  <c r="F231" i="8"/>
  <c r="D231" i="8"/>
  <c r="C231" i="8" s="1"/>
  <c r="D227" i="6"/>
  <c r="E227" i="6" s="1"/>
  <c r="F227" i="6" s="1"/>
  <c r="H231" i="8" l="1"/>
  <c r="I231" i="8" s="1"/>
  <c r="F232" i="8"/>
  <c r="D232" i="8"/>
  <c r="C232" i="8" s="1"/>
  <c r="D228" i="6"/>
  <c r="E228" i="6" s="1"/>
  <c r="F228" i="6" s="1"/>
  <c r="H232" i="8" l="1"/>
  <c r="I232" i="8" s="1"/>
  <c r="D233" i="8"/>
  <c r="C233" i="8" s="1"/>
  <c r="F233" i="8"/>
  <c r="D229" i="6"/>
  <c r="E229" i="6" s="1"/>
  <c r="F229" i="6" s="1"/>
  <c r="F26" i="13" s="1"/>
  <c r="G26" i="13" s="1"/>
  <c r="E30" i="19" s="1"/>
  <c r="H233" i="8" l="1"/>
  <c r="I233" i="8" s="1"/>
  <c r="F234" i="8"/>
  <c r="D234" i="8"/>
  <c r="C234" i="8" s="1"/>
  <c r="D230" i="6"/>
  <c r="E230" i="6" s="1"/>
  <c r="F230" i="6" s="1"/>
  <c r="H234" i="8" l="1"/>
  <c r="I234" i="8" s="1"/>
  <c r="F235" i="8"/>
  <c r="D235" i="8"/>
  <c r="C235" i="8" s="1"/>
  <c r="D231" i="6"/>
  <c r="E231" i="6" s="1"/>
  <c r="F231" i="6" s="1"/>
  <c r="H235" i="8" l="1"/>
  <c r="I235" i="8" s="1"/>
  <c r="D236" i="8"/>
  <c r="C236" i="8" s="1"/>
  <c r="F236" i="8"/>
  <c r="D232" i="6"/>
  <c r="E232" i="6" s="1"/>
  <c r="F232" i="6" s="1"/>
  <c r="H236" i="8" l="1"/>
  <c r="I236" i="8" s="1"/>
  <c r="D237" i="8"/>
  <c r="C237" i="8" s="1"/>
  <c r="F237" i="8"/>
  <c r="D233" i="6"/>
  <c r="E233" i="6" s="1"/>
  <c r="F233" i="6" s="1"/>
  <c r="H237" i="8" l="1"/>
  <c r="I237" i="8" s="1"/>
  <c r="F238" i="8"/>
  <c r="D238" i="8"/>
  <c r="C238" i="8" s="1"/>
  <c r="D234" i="6"/>
  <c r="E234" i="6" s="1"/>
  <c r="F234" i="6" s="1"/>
  <c r="H238" i="8" l="1"/>
  <c r="I238" i="8" s="1"/>
  <c r="D239" i="8"/>
  <c r="C239" i="8" s="1"/>
  <c r="F239" i="8"/>
  <c r="D235" i="6"/>
  <c r="E235" i="6" s="1"/>
  <c r="F235" i="6" s="1"/>
  <c r="H239" i="8" l="1"/>
  <c r="I239" i="8" s="1"/>
  <c r="D240" i="8"/>
  <c r="C240" i="8" s="1"/>
  <c r="F240" i="8"/>
  <c r="D236" i="6"/>
  <c r="E236" i="6" s="1"/>
  <c r="F236" i="6" s="1"/>
  <c r="H240" i="8" l="1"/>
  <c r="I240" i="8" s="1"/>
  <c r="D241" i="8"/>
  <c r="C241" i="8" s="1"/>
  <c r="F241" i="8"/>
  <c r="D237" i="6"/>
  <c r="E237" i="6" s="1"/>
  <c r="F237" i="6" s="1"/>
  <c r="H241" i="8" l="1"/>
  <c r="I241" i="8" s="1"/>
  <c r="F242" i="8"/>
  <c r="D242" i="8"/>
  <c r="C242" i="8" s="1"/>
  <c r="D238" i="6"/>
  <c r="E238" i="6" s="1"/>
  <c r="F238" i="6" s="1"/>
  <c r="H242" i="8" l="1"/>
  <c r="I242" i="8" s="1"/>
  <c r="F243" i="8"/>
  <c r="D243" i="8"/>
  <c r="C243" i="8" s="1"/>
  <c r="D239" i="6"/>
  <c r="E239" i="6" s="1"/>
  <c r="F239" i="6" s="1"/>
  <c r="H243" i="8" l="1"/>
  <c r="I243" i="8" s="1"/>
  <c r="D244" i="8"/>
  <c r="C244" i="8" s="1"/>
  <c r="F244" i="8"/>
  <c r="D240" i="6"/>
  <c r="E240" i="6" s="1"/>
  <c r="F240" i="6" s="1"/>
  <c r="H244" i="8" l="1"/>
  <c r="I244" i="8" s="1"/>
  <c r="F245" i="8"/>
  <c r="D245" i="8"/>
  <c r="C245" i="8" s="1"/>
  <c r="D241" i="6"/>
  <c r="E241" i="6" s="1"/>
  <c r="F241" i="6" s="1"/>
  <c r="F27" i="13" s="1"/>
  <c r="G27" i="13" s="1"/>
  <c r="E31" i="19" s="1"/>
  <c r="H245" i="8" l="1"/>
  <c r="I245" i="8" s="1"/>
  <c r="F246" i="8"/>
  <c r="D246" i="8"/>
  <c r="C246" i="8" s="1"/>
  <c r="D242" i="6"/>
  <c r="E242" i="6" s="1"/>
  <c r="F242" i="6" s="1"/>
  <c r="H246" i="8" l="1"/>
  <c r="I246" i="8" s="1"/>
  <c r="D247" i="8"/>
  <c r="C247" i="8" s="1"/>
  <c r="F247" i="8"/>
  <c r="D243" i="6"/>
  <c r="E243" i="6" s="1"/>
  <c r="F243" i="6" s="1"/>
  <c r="H247" i="8" l="1"/>
  <c r="I247" i="8" s="1"/>
  <c r="D248" i="8"/>
  <c r="C248" i="8" s="1"/>
  <c r="F248" i="8"/>
  <c r="D244" i="6"/>
  <c r="E244" i="6" s="1"/>
  <c r="F244" i="6" s="1"/>
  <c r="H248" i="8" l="1"/>
  <c r="I248" i="8" s="1"/>
  <c r="F249" i="8"/>
  <c r="D249" i="8"/>
  <c r="C249" i="8" s="1"/>
  <c r="D245" i="6"/>
  <c r="E245" i="6" s="1"/>
  <c r="F245" i="6" s="1"/>
  <c r="H249" i="8" l="1"/>
  <c r="I249" i="8" s="1"/>
  <c r="F250" i="8"/>
  <c r="D250" i="8"/>
  <c r="C250" i="8" s="1"/>
  <c r="D246" i="6"/>
  <c r="E246" i="6" s="1"/>
  <c r="F246" i="6" s="1"/>
  <c r="H250" i="8" l="1"/>
  <c r="I250" i="8" s="1"/>
  <c r="F251" i="8"/>
  <c r="D251" i="8"/>
  <c r="C251" i="8" s="1"/>
  <c r="D247" i="6"/>
  <c r="E247" i="6" s="1"/>
  <c r="F247" i="6" s="1"/>
  <c r="H251" i="8" l="1"/>
  <c r="I251" i="8" s="1"/>
  <c r="F252" i="8"/>
  <c r="D252" i="8"/>
  <c r="C252" i="8" s="1"/>
  <c r="D248" i="6"/>
  <c r="E248" i="6" s="1"/>
  <c r="F248" i="6" s="1"/>
  <c r="H252" i="8" l="1"/>
  <c r="I252" i="8" s="1"/>
  <c r="F253" i="8"/>
  <c r="D253" i="8"/>
  <c r="C253" i="8" s="1"/>
  <c r="D249" i="6"/>
  <c r="E249" i="6" s="1"/>
  <c r="F249" i="6" s="1"/>
  <c r="H253" i="8" l="1"/>
  <c r="I253" i="8" s="1"/>
  <c r="F254" i="8"/>
  <c r="D254" i="8"/>
  <c r="C254" i="8" s="1"/>
  <c r="D250" i="6"/>
  <c r="E250" i="6" s="1"/>
  <c r="F250" i="6" s="1"/>
  <c r="H254" i="8" l="1"/>
  <c r="I254" i="8" s="1"/>
  <c r="F255" i="8"/>
  <c r="D255" i="8"/>
  <c r="C255" i="8" s="1"/>
  <c r="D251" i="6"/>
  <c r="E251" i="6" s="1"/>
  <c r="F251" i="6" s="1"/>
  <c r="H255" i="8" l="1"/>
  <c r="I255" i="8" s="1"/>
  <c r="F256" i="8"/>
  <c r="D256" i="8"/>
  <c r="C256" i="8" s="1"/>
  <c r="D252" i="6"/>
  <c r="E252" i="6" s="1"/>
  <c r="F252" i="6" s="1"/>
  <c r="H256" i="8" l="1"/>
  <c r="I256" i="8" s="1"/>
  <c r="D257" i="8"/>
  <c r="C257" i="8" s="1"/>
  <c r="F257" i="8"/>
  <c r="D253" i="6"/>
  <c r="E253" i="6" s="1"/>
  <c r="F253" i="6" s="1"/>
  <c r="F28" i="13" s="1"/>
  <c r="G28" i="13" s="1"/>
  <c r="E32" i="19" s="1"/>
  <c r="H257" i="8" l="1"/>
  <c r="I257" i="8" s="1"/>
  <c r="D258" i="8"/>
  <c r="C258" i="8" s="1"/>
  <c r="F258" i="8"/>
  <c r="D254" i="6"/>
  <c r="E254" i="6" s="1"/>
  <c r="F254" i="6" s="1"/>
  <c r="H258" i="8" l="1"/>
  <c r="I258" i="8" s="1"/>
  <c r="D259" i="8"/>
  <c r="C259" i="8" s="1"/>
  <c r="F259" i="8"/>
  <c r="D255" i="6"/>
  <c r="E255" i="6" s="1"/>
  <c r="F255" i="6" s="1"/>
  <c r="H259" i="8" l="1"/>
  <c r="I259" i="8" s="1"/>
  <c r="D260" i="8"/>
  <c r="C260" i="8" s="1"/>
  <c r="F260" i="8"/>
  <c r="D256" i="6"/>
  <c r="E256" i="6" s="1"/>
  <c r="F256" i="6" s="1"/>
  <c r="H260" i="8" l="1"/>
  <c r="I260" i="8" s="1"/>
  <c r="F261" i="8"/>
  <c r="D261" i="8"/>
  <c r="C261" i="8" s="1"/>
  <c r="D257" i="6"/>
  <c r="E257" i="6" s="1"/>
  <c r="F257" i="6" s="1"/>
  <c r="H261" i="8" l="1"/>
  <c r="I261" i="8" s="1"/>
  <c r="F262" i="8"/>
  <c r="D262" i="8"/>
  <c r="C262" i="8" s="1"/>
  <c r="D258" i="6"/>
  <c r="E258" i="6" s="1"/>
  <c r="F258" i="6" s="1"/>
  <c r="H262" i="8" l="1"/>
  <c r="I262" i="8" s="1"/>
  <c r="D263" i="8"/>
  <c r="C263" i="8" s="1"/>
  <c r="F263" i="8"/>
  <c r="D259" i="6"/>
  <c r="E259" i="6" s="1"/>
  <c r="F259" i="6" s="1"/>
  <c r="H263" i="8" l="1"/>
  <c r="I263" i="8" s="1"/>
  <c r="D264" i="8"/>
  <c r="C264" i="8" s="1"/>
  <c r="F264" i="8"/>
  <c r="D260" i="6"/>
  <c r="E260" i="6" s="1"/>
  <c r="F260" i="6" s="1"/>
  <c r="H264" i="8" l="1"/>
  <c r="I264" i="8" s="1"/>
  <c r="F265" i="8"/>
  <c r="D265" i="8"/>
  <c r="C265" i="8" s="1"/>
  <c r="D261" i="6"/>
  <c r="E261" i="6" s="1"/>
  <c r="F261" i="6" s="1"/>
  <c r="H265" i="8" l="1"/>
  <c r="I265" i="8" s="1"/>
  <c r="D266" i="8"/>
  <c r="C266" i="8" s="1"/>
  <c r="F266" i="8"/>
  <c r="D262" i="6"/>
  <c r="E262" i="6" s="1"/>
  <c r="F262" i="6" s="1"/>
  <c r="H266" i="8" l="1"/>
  <c r="I266" i="8" s="1"/>
  <c r="F267" i="8"/>
  <c r="D267" i="8"/>
  <c r="C267" i="8" s="1"/>
  <c r="D263" i="6"/>
  <c r="E263" i="6" s="1"/>
  <c r="F263" i="6" s="1"/>
  <c r="H267" i="8" l="1"/>
  <c r="I267" i="8" s="1"/>
  <c r="D268" i="8"/>
  <c r="C268" i="8" s="1"/>
  <c r="F268" i="8"/>
  <c r="D264" i="6"/>
  <c r="E264" i="6" s="1"/>
  <c r="F264" i="6" s="1"/>
  <c r="H268" i="8" l="1"/>
  <c r="I268" i="8" s="1"/>
  <c r="D269" i="8"/>
  <c r="C269" i="8" s="1"/>
  <c r="F269" i="8"/>
  <c r="D265" i="6"/>
  <c r="E265" i="6" s="1"/>
  <c r="F265" i="6" s="1"/>
  <c r="F29" i="13" s="1"/>
  <c r="G29" i="13" s="1"/>
  <c r="E33" i="19" s="1"/>
  <c r="H269" i="8" l="1"/>
  <c r="I269" i="8" s="1"/>
  <c r="F270" i="8"/>
  <c r="D270" i="8"/>
  <c r="C270" i="8" s="1"/>
  <c r="D266" i="6"/>
  <c r="E266" i="6" s="1"/>
  <c r="F266" i="6" s="1"/>
  <c r="H270" i="8" l="1"/>
  <c r="I270" i="8" s="1"/>
  <c r="D271" i="8"/>
  <c r="C271" i="8" s="1"/>
  <c r="F271" i="8"/>
  <c r="D267" i="6"/>
  <c r="E267" i="6" s="1"/>
  <c r="F267" i="6" s="1"/>
  <c r="H271" i="8" l="1"/>
  <c r="I271" i="8" s="1"/>
  <c r="D272" i="8"/>
  <c r="C272" i="8" s="1"/>
  <c r="F272" i="8"/>
  <c r="D268" i="6"/>
  <c r="E268" i="6" s="1"/>
  <c r="F268" i="6" s="1"/>
  <c r="H272" i="8" l="1"/>
  <c r="I272" i="8" s="1"/>
  <c r="F273" i="8"/>
  <c r="D273" i="8"/>
  <c r="C273" i="8" s="1"/>
  <c r="D269" i="6"/>
  <c r="E269" i="6" s="1"/>
  <c r="F269" i="6" s="1"/>
  <c r="H273" i="8" l="1"/>
  <c r="I273" i="8" s="1"/>
  <c r="D274" i="8"/>
  <c r="C274" i="8" s="1"/>
  <c r="F274" i="8"/>
  <c r="D270" i="6"/>
  <c r="E270" i="6" s="1"/>
  <c r="F270" i="6" s="1"/>
  <c r="H274" i="8" l="1"/>
  <c r="I274" i="8" s="1"/>
  <c r="F275" i="8"/>
  <c r="D275" i="8"/>
  <c r="C275" i="8" s="1"/>
  <c r="D271" i="6"/>
  <c r="E271" i="6" s="1"/>
  <c r="F271" i="6" s="1"/>
  <c r="H275" i="8" l="1"/>
  <c r="I275" i="8" s="1"/>
  <c r="F276" i="8"/>
  <c r="D276" i="8"/>
  <c r="C276" i="8" s="1"/>
  <c r="D272" i="6"/>
  <c r="E272" i="6" s="1"/>
  <c r="F272" i="6" s="1"/>
  <c r="H276" i="8" l="1"/>
  <c r="I276" i="8" s="1"/>
  <c r="D277" i="8"/>
  <c r="C277" i="8" s="1"/>
  <c r="F277" i="8"/>
  <c r="D273" i="6"/>
  <c r="E273" i="6" s="1"/>
  <c r="F273" i="6" s="1"/>
  <c r="H277" i="8" l="1"/>
  <c r="I277" i="8" s="1"/>
  <c r="F278" i="8"/>
  <c r="D278" i="8"/>
  <c r="C278" i="8" s="1"/>
  <c r="D274" i="6"/>
  <c r="E274" i="6" s="1"/>
  <c r="F274" i="6" s="1"/>
  <c r="H278" i="8" l="1"/>
  <c r="I278" i="8" s="1"/>
  <c r="F279" i="8"/>
  <c r="D279" i="8"/>
  <c r="C279" i="8" s="1"/>
  <c r="D275" i="6"/>
  <c r="E275" i="6" s="1"/>
  <c r="F275" i="6" s="1"/>
  <c r="H279" i="8" l="1"/>
  <c r="I279" i="8" s="1"/>
  <c r="D280" i="8"/>
  <c r="C280" i="8" s="1"/>
  <c r="F280" i="8"/>
  <c r="D276" i="6"/>
  <c r="E276" i="6" s="1"/>
  <c r="F276" i="6" s="1"/>
  <c r="H280" i="8" l="1"/>
  <c r="I280" i="8" s="1"/>
  <c r="D281" i="8"/>
  <c r="C281" i="8" s="1"/>
  <c r="F281" i="8"/>
  <c r="D277" i="6"/>
  <c r="E277" i="6" s="1"/>
  <c r="F277" i="6" s="1"/>
  <c r="F30" i="13" s="1"/>
  <c r="G30" i="13" s="1"/>
  <c r="E34" i="19" s="1"/>
  <c r="H281" i="8" l="1"/>
  <c r="I281" i="8" s="1"/>
  <c r="F282" i="8"/>
  <c r="D282" i="8"/>
  <c r="C282" i="8" s="1"/>
  <c r="D278" i="6"/>
  <c r="E278" i="6" s="1"/>
  <c r="F278" i="6" s="1"/>
  <c r="H282" i="8" l="1"/>
  <c r="I282" i="8" s="1"/>
  <c r="D283" i="8"/>
  <c r="C283" i="8" s="1"/>
  <c r="F283" i="8"/>
  <c r="D279" i="6"/>
  <c r="E279" i="6" s="1"/>
  <c r="F279" i="6" s="1"/>
  <c r="H283" i="8" l="1"/>
  <c r="I283" i="8" s="1"/>
  <c r="D284" i="8"/>
  <c r="C284" i="8" s="1"/>
  <c r="F284" i="8"/>
  <c r="D280" i="6"/>
  <c r="E280" i="6" s="1"/>
  <c r="F280" i="6" s="1"/>
  <c r="H284" i="8" l="1"/>
  <c r="I284" i="8" s="1"/>
  <c r="F285" i="8"/>
  <c r="D285" i="8"/>
  <c r="C285" i="8" s="1"/>
  <c r="D281" i="6"/>
  <c r="E281" i="6" s="1"/>
  <c r="F281" i="6" s="1"/>
  <c r="H285" i="8" l="1"/>
  <c r="I285" i="8" s="1"/>
  <c r="D286" i="8"/>
  <c r="C286" i="8" s="1"/>
  <c r="F286" i="8"/>
  <c r="D282" i="6"/>
  <c r="E282" i="6" s="1"/>
  <c r="F282" i="6" s="1"/>
  <c r="H286" i="8" l="1"/>
  <c r="I286" i="8" s="1"/>
  <c r="F287" i="8"/>
  <c r="D287" i="8"/>
  <c r="C287" i="8" s="1"/>
  <c r="D283" i="6"/>
  <c r="E283" i="6" s="1"/>
  <c r="F283" i="6" s="1"/>
  <c r="H287" i="8" l="1"/>
  <c r="I287" i="8" s="1"/>
  <c r="F288" i="8"/>
  <c r="D288" i="8"/>
  <c r="C288" i="8" s="1"/>
  <c r="D284" i="6"/>
  <c r="E284" i="6" s="1"/>
  <c r="F284" i="6" s="1"/>
  <c r="H288" i="8" l="1"/>
  <c r="I288" i="8" s="1"/>
  <c r="D289" i="8"/>
  <c r="C289" i="8" s="1"/>
  <c r="F289" i="8"/>
  <c r="D285" i="6"/>
  <c r="E285" i="6" s="1"/>
  <c r="F285" i="6" s="1"/>
  <c r="H289" i="8" l="1"/>
  <c r="I289" i="8" s="1"/>
  <c r="F290" i="8"/>
  <c r="D290" i="8"/>
  <c r="C290" i="8" s="1"/>
  <c r="D286" i="6"/>
  <c r="E286" i="6" s="1"/>
  <c r="F286" i="6" s="1"/>
  <c r="H290" i="8" l="1"/>
  <c r="I290" i="8" s="1"/>
  <c r="F291" i="8"/>
  <c r="D291" i="8"/>
  <c r="C291" i="8" s="1"/>
  <c r="D287" i="6"/>
  <c r="E287" i="6" s="1"/>
  <c r="F287" i="6" s="1"/>
  <c r="H291" i="8" l="1"/>
  <c r="I291" i="8" s="1"/>
  <c r="D292" i="8"/>
  <c r="C292" i="8" s="1"/>
  <c r="F292" i="8"/>
  <c r="D288" i="6"/>
  <c r="E288" i="6" s="1"/>
  <c r="F288" i="6" s="1"/>
  <c r="H292" i="8" l="1"/>
  <c r="I292" i="8" s="1"/>
  <c r="D293" i="8"/>
  <c r="C293" i="8" s="1"/>
  <c r="F293" i="8"/>
  <c r="D289" i="6"/>
  <c r="E289" i="6" s="1"/>
  <c r="F289" i="6" s="1"/>
  <c r="F31" i="13" s="1"/>
  <c r="G31" i="13" s="1"/>
  <c r="E35" i="19" s="1"/>
  <c r="H293" i="8" l="1"/>
  <c r="I293" i="8" s="1"/>
  <c r="F294" i="8"/>
  <c r="D294" i="8"/>
  <c r="C294" i="8" s="1"/>
  <c r="D290" i="6"/>
  <c r="E290" i="6" s="1"/>
  <c r="F290" i="6" s="1"/>
  <c r="H294" i="8" l="1"/>
  <c r="I294" i="8" s="1"/>
  <c r="D295" i="8"/>
  <c r="C295" i="8" s="1"/>
  <c r="F295" i="8"/>
  <c r="D291" i="6"/>
  <c r="E291" i="6" s="1"/>
  <c r="F291" i="6" s="1"/>
  <c r="H295" i="8" l="1"/>
  <c r="I295" i="8" s="1"/>
  <c r="F296" i="8"/>
  <c r="D296" i="8"/>
  <c r="C296" i="8" s="1"/>
  <c r="D292" i="6"/>
  <c r="E292" i="6" s="1"/>
  <c r="F292" i="6" s="1"/>
  <c r="H296" i="8" l="1"/>
  <c r="I296" i="8" s="1"/>
  <c r="D297" i="8"/>
  <c r="C297" i="8" s="1"/>
  <c r="F297" i="8"/>
  <c r="D293" i="6"/>
  <c r="E293" i="6" s="1"/>
  <c r="F293" i="6" s="1"/>
  <c r="H297" i="8" l="1"/>
  <c r="I297" i="8" s="1"/>
  <c r="D298" i="8"/>
  <c r="C298" i="8" s="1"/>
  <c r="F298" i="8"/>
  <c r="D294" i="6"/>
  <c r="E294" i="6" s="1"/>
  <c r="F294" i="6" s="1"/>
  <c r="H298" i="8" l="1"/>
  <c r="I298" i="8" s="1"/>
  <c r="F299" i="8"/>
  <c r="D299" i="8"/>
  <c r="C299" i="8" s="1"/>
  <c r="D295" i="6"/>
  <c r="E295" i="6" s="1"/>
  <c r="F295" i="6" s="1"/>
  <c r="H299" i="8" l="1"/>
  <c r="I299" i="8" s="1"/>
  <c r="F300" i="8"/>
  <c r="D300" i="8"/>
  <c r="C300" i="8" s="1"/>
  <c r="D296" i="6"/>
  <c r="E296" i="6" s="1"/>
  <c r="F296" i="6" s="1"/>
  <c r="H300" i="8" l="1"/>
  <c r="I300" i="8" s="1"/>
  <c r="D301" i="8"/>
  <c r="C301" i="8" s="1"/>
  <c r="F301" i="8"/>
  <c r="D297" i="6"/>
  <c r="E297" i="6" s="1"/>
  <c r="F297" i="6" s="1"/>
  <c r="H301" i="8" l="1"/>
  <c r="I301" i="8" s="1"/>
  <c r="F302" i="8"/>
  <c r="D302" i="8"/>
  <c r="C302" i="8" s="1"/>
  <c r="D298" i="6"/>
  <c r="E298" i="6" s="1"/>
  <c r="F298" i="6" s="1"/>
  <c r="H302" i="8" l="1"/>
  <c r="I302" i="8" s="1"/>
  <c r="F303" i="8"/>
  <c r="D303" i="8"/>
  <c r="C303" i="8" s="1"/>
  <c r="D299" i="6"/>
  <c r="E299" i="6" s="1"/>
  <c r="F299" i="6" s="1"/>
  <c r="H303" i="8" l="1"/>
  <c r="I303" i="8" s="1"/>
  <c r="D304" i="8"/>
  <c r="C304" i="8" s="1"/>
  <c r="F304" i="8"/>
  <c r="D300" i="6"/>
  <c r="E300" i="6" s="1"/>
  <c r="F300" i="6" s="1"/>
  <c r="H304" i="8" l="1"/>
  <c r="I304" i="8" s="1"/>
  <c r="D305" i="8"/>
  <c r="C305" i="8" s="1"/>
  <c r="F305" i="8"/>
  <c r="D301" i="6"/>
  <c r="E301" i="6" s="1"/>
  <c r="F301" i="6" s="1"/>
  <c r="F32" i="13" s="1"/>
  <c r="G32" i="13" s="1"/>
  <c r="E36" i="19" s="1"/>
  <c r="H305" i="8" l="1"/>
  <c r="I305" i="8" s="1"/>
  <c r="F306" i="8"/>
  <c r="D306" i="8"/>
  <c r="C306" i="8" s="1"/>
  <c r="D302" i="6"/>
  <c r="E302" i="6" s="1"/>
  <c r="F302" i="6" s="1"/>
  <c r="H306" i="8" l="1"/>
  <c r="I306" i="8" s="1"/>
  <c r="D307" i="8"/>
  <c r="C307" i="8" s="1"/>
  <c r="F307" i="8"/>
  <c r="D303" i="6"/>
  <c r="E303" i="6" s="1"/>
  <c r="F303" i="6" s="1"/>
  <c r="H307" i="8" l="1"/>
  <c r="I307" i="8" s="1"/>
  <c r="F308" i="8"/>
  <c r="D308" i="8"/>
  <c r="C308" i="8" s="1"/>
  <c r="D304" i="6"/>
  <c r="E304" i="6" s="1"/>
  <c r="F304" i="6" s="1"/>
  <c r="H308" i="8" l="1"/>
  <c r="I308" i="8" s="1"/>
  <c r="F309" i="8"/>
  <c r="D309" i="8"/>
  <c r="C309" i="8" s="1"/>
  <c r="D305" i="6"/>
  <c r="E305" i="6" s="1"/>
  <c r="F305" i="6" s="1"/>
  <c r="H309" i="8" l="1"/>
  <c r="I309" i="8" s="1"/>
  <c r="D310" i="8"/>
  <c r="C310" i="8" s="1"/>
  <c r="F310" i="8"/>
  <c r="D306" i="6"/>
  <c r="E306" i="6" s="1"/>
  <c r="F306" i="6" s="1"/>
  <c r="H310" i="8" l="1"/>
  <c r="I310" i="8" s="1"/>
  <c r="D311" i="8"/>
  <c r="C311" i="8" s="1"/>
  <c r="F311" i="8"/>
  <c r="D307" i="6"/>
  <c r="E307" i="6" s="1"/>
  <c r="F307" i="6" s="1"/>
  <c r="H311" i="8" l="1"/>
  <c r="I311" i="8" s="1"/>
  <c r="F312" i="8"/>
  <c r="D312" i="8"/>
  <c r="C312" i="8" s="1"/>
  <c r="D308" i="6"/>
  <c r="E308" i="6" s="1"/>
  <c r="F308" i="6" s="1"/>
  <c r="H312" i="8" l="1"/>
  <c r="I312" i="8" s="1"/>
  <c r="D313" i="8"/>
  <c r="C313" i="8" s="1"/>
  <c r="F313" i="8"/>
  <c r="D309" i="6"/>
  <c r="E309" i="6" s="1"/>
  <c r="F309" i="6" s="1"/>
  <c r="H313" i="8" l="1"/>
  <c r="I313" i="8" s="1"/>
  <c r="F314" i="8"/>
  <c r="D314" i="8"/>
  <c r="C314" i="8" s="1"/>
  <c r="D310" i="6"/>
  <c r="E310" i="6" s="1"/>
  <c r="F310" i="6" s="1"/>
  <c r="H314" i="8" l="1"/>
  <c r="I314" i="8" s="1"/>
  <c r="D315" i="8"/>
  <c r="C315" i="8" s="1"/>
  <c r="F315" i="8"/>
  <c r="D311" i="6"/>
  <c r="E311" i="6" s="1"/>
  <c r="F311" i="6" s="1"/>
  <c r="H315" i="8" l="1"/>
  <c r="I315" i="8" s="1"/>
  <c r="D316" i="8"/>
  <c r="C316" i="8" s="1"/>
  <c r="F316" i="8"/>
  <c r="D312" i="6"/>
  <c r="E312" i="6" s="1"/>
  <c r="F312" i="6" s="1"/>
  <c r="H316" i="8" l="1"/>
  <c r="I316" i="8" s="1"/>
  <c r="F317" i="8"/>
  <c r="D317" i="8"/>
  <c r="C317" i="8" s="1"/>
  <c r="D313" i="6"/>
  <c r="E313" i="6" s="1"/>
  <c r="F313" i="6" s="1"/>
  <c r="F33" i="13" s="1"/>
  <c r="G33" i="13" s="1"/>
  <c r="E37" i="19" s="1"/>
  <c r="H317" i="8" l="1"/>
  <c r="I317" i="8" s="1"/>
  <c r="D318" i="8"/>
  <c r="C318" i="8" s="1"/>
  <c r="F318" i="8"/>
  <c r="D314" i="6"/>
  <c r="E314" i="6" s="1"/>
  <c r="F314" i="6" s="1"/>
  <c r="H318" i="8" l="1"/>
  <c r="I318" i="8" s="1"/>
  <c r="D319" i="8"/>
  <c r="C319" i="8" s="1"/>
  <c r="F319" i="8"/>
  <c r="D315" i="6"/>
  <c r="E315" i="6" s="1"/>
  <c r="F315" i="6" s="1"/>
  <c r="H319" i="8" l="1"/>
  <c r="I319" i="8" s="1"/>
  <c r="F320" i="8"/>
  <c r="D320" i="8"/>
  <c r="C320" i="8" s="1"/>
  <c r="D316" i="6"/>
  <c r="E316" i="6" s="1"/>
  <c r="F316" i="6" s="1"/>
  <c r="H320" i="8" l="1"/>
  <c r="I320" i="8" s="1"/>
  <c r="F321" i="8"/>
  <c r="D321" i="8"/>
  <c r="C321" i="8" s="1"/>
  <c r="D317" i="6"/>
  <c r="E317" i="6" s="1"/>
  <c r="F317" i="6" s="1"/>
  <c r="H321" i="8" l="1"/>
  <c r="I321" i="8" s="1"/>
  <c r="D322" i="8"/>
  <c r="C322" i="8" s="1"/>
  <c r="F322" i="8"/>
  <c r="D318" i="6"/>
  <c r="E318" i="6" s="1"/>
  <c r="F318" i="6" s="1"/>
  <c r="H322" i="8" l="1"/>
  <c r="I322" i="8" s="1"/>
  <c r="F323" i="8"/>
  <c r="D323" i="8"/>
  <c r="C323" i="8" s="1"/>
  <c r="D319" i="6"/>
  <c r="E319" i="6" s="1"/>
  <c r="F319" i="6" s="1"/>
  <c r="H323" i="8" l="1"/>
  <c r="I323" i="8" s="1"/>
  <c r="F324" i="8"/>
  <c r="D324" i="8"/>
  <c r="C324" i="8" s="1"/>
  <c r="D320" i="6"/>
  <c r="E320" i="6" s="1"/>
  <c r="F320" i="6" s="1"/>
  <c r="H324" i="8" l="1"/>
  <c r="I324" i="8" s="1"/>
  <c r="F325" i="8"/>
  <c r="D325" i="8"/>
  <c r="C325" i="8" s="1"/>
  <c r="D321" i="6"/>
  <c r="E321" i="6" s="1"/>
  <c r="F321" i="6" s="1"/>
  <c r="H325" i="8" l="1"/>
  <c r="I325" i="8" s="1"/>
  <c r="D326" i="8"/>
  <c r="C326" i="8" s="1"/>
  <c r="F326" i="8"/>
  <c r="D322" i="6"/>
  <c r="E322" i="6" s="1"/>
  <c r="F322" i="6" s="1"/>
  <c r="H326" i="8" l="1"/>
  <c r="I326" i="8" s="1"/>
  <c r="D327" i="8"/>
  <c r="C327" i="8" s="1"/>
  <c r="F327" i="8"/>
  <c r="D323" i="6"/>
  <c r="E323" i="6" s="1"/>
  <c r="F323" i="6" s="1"/>
  <c r="H327" i="8" l="1"/>
  <c r="I327" i="8" s="1"/>
  <c r="F328" i="8"/>
  <c r="D328" i="8"/>
  <c r="C328" i="8" s="1"/>
  <c r="D324" i="6"/>
  <c r="E324" i="6" s="1"/>
  <c r="F324" i="6" s="1"/>
  <c r="H328" i="8" l="1"/>
  <c r="I328" i="8" s="1"/>
  <c r="F329" i="8"/>
  <c r="D329" i="8"/>
  <c r="C329" i="8" s="1"/>
  <c r="D325" i="6"/>
  <c r="E325" i="6" s="1"/>
  <c r="F325" i="6" s="1"/>
  <c r="F34" i="13" s="1"/>
  <c r="G34" i="13" s="1"/>
  <c r="E38" i="19" s="1"/>
  <c r="H329" i="8" l="1"/>
  <c r="I329" i="8" s="1"/>
  <c r="F330" i="8"/>
  <c r="D330" i="8"/>
  <c r="C330" i="8" s="1"/>
  <c r="D326" i="6"/>
  <c r="E326" i="6" s="1"/>
  <c r="F326" i="6" s="1"/>
  <c r="H330" i="8" l="1"/>
  <c r="I330" i="8" s="1"/>
  <c r="D331" i="8"/>
  <c r="C331" i="8" s="1"/>
  <c r="F331" i="8"/>
  <c r="D327" i="6"/>
  <c r="E327" i="6" s="1"/>
  <c r="F327" i="6" s="1"/>
  <c r="H331" i="8" l="1"/>
  <c r="I331" i="8" s="1"/>
  <c r="F332" i="8"/>
  <c r="D332" i="8"/>
  <c r="C332" i="8" s="1"/>
  <c r="D328" i="6"/>
  <c r="E328" i="6" s="1"/>
  <c r="F328" i="6" s="1"/>
  <c r="H332" i="8" l="1"/>
  <c r="I332" i="8" s="1"/>
  <c r="F333" i="8"/>
  <c r="D333" i="8"/>
  <c r="C333" i="8" s="1"/>
  <c r="D329" i="6"/>
  <c r="E329" i="6" s="1"/>
  <c r="F329" i="6" s="1"/>
  <c r="H333" i="8" l="1"/>
  <c r="I333" i="8" s="1"/>
  <c r="D334" i="8"/>
  <c r="C334" i="8" s="1"/>
  <c r="F334" i="8"/>
  <c r="D330" i="6"/>
  <c r="E330" i="6" s="1"/>
  <c r="F330" i="6" s="1"/>
  <c r="H334" i="8" l="1"/>
  <c r="I334" i="8" s="1"/>
  <c r="F335" i="8"/>
  <c r="D335" i="8"/>
  <c r="C335" i="8" s="1"/>
  <c r="D331" i="6"/>
  <c r="E331" i="6" s="1"/>
  <c r="F331" i="6" s="1"/>
  <c r="H335" i="8" l="1"/>
  <c r="I335" i="8" s="1"/>
  <c r="D336" i="8"/>
  <c r="C336" i="8" s="1"/>
  <c r="F336" i="8"/>
  <c r="D332" i="6"/>
  <c r="E332" i="6" s="1"/>
  <c r="F332" i="6" s="1"/>
  <c r="H336" i="8" l="1"/>
  <c r="I336" i="8" s="1"/>
  <c r="D337" i="8"/>
  <c r="C337" i="8" s="1"/>
  <c r="F337" i="8"/>
  <c r="D333" i="6"/>
  <c r="E333" i="6" s="1"/>
  <c r="F333" i="6" s="1"/>
  <c r="H337" i="8" l="1"/>
  <c r="I337" i="8" s="1"/>
  <c r="D338" i="8"/>
  <c r="C338" i="8" s="1"/>
  <c r="F338" i="8"/>
  <c r="D334" i="6"/>
  <c r="E334" i="6" s="1"/>
  <c r="F334" i="6" s="1"/>
  <c r="H338" i="8" l="1"/>
  <c r="I338" i="8" s="1"/>
  <c r="D339" i="8"/>
  <c r="C339" i="8" s="1"/>
  <c r="F339" i="8"/>
  <c r="D335" i="6"/>
  <c r="E335" i="6" s="1"/>
  <c r="F335" i="6" s="1"/>
  <c r="H339" i="8" l="1"/>
  <c r="I339" i="8" s="1"/>
  <c r="F340" i="8"/>
  <c r="D340" i="8"/>
  <c r="C340" i="8" s="1"/>
  <c r="D336" i="6"/>
  <c r="E336" i="6" s="1"/>
  <c r="F336" i="6" s="1"/>
  <c r="H340" i="8" l="1"/>
  <c r="I340" i="8" s="1"/>
  <c r="D341" i="8"/>
  <c r="C341" i="8" s="1"/>
  <c r="F341" i="8"/>
  <c r="D337" i="6"/>
  <c r="E337" i="6" s="1"/>
  <c r="F337" i="6" s="1"/>
  <c r="F35" i="13" s="1"/>
  <c r="G35" i="13" s="1"/>
  <c r="E39" i="19" s="1"/>
  <c r="H341" i="8" l="1"/>
  <c r="I341" i="8" s="1"/>
  <c r="F342" i="8"/>
  <c r="D342" i="8"/>
  <c r="C342" i="8" s="1"/>
  <c r="D338" i="6"/>
  <c r="E338" i="6" s="1"/>
  <c r="F338" i="6" s="1"/>
  <c r="H342" i="8" l="1"/>
  <c r="I342" i="8" s="1"/>
  <c r="D343" i="8"/>
  <c r="C343" i="8" s="1"/>
  <c r="F343" i="8"/>
  <c r="D339" i="6"/>
  <c r="E339" i="6" s="1"/>
  <c r="F339" i="6" s="1"/>
  <c r="H343" i="8" l="1"/>
  <c r="I343" i="8" s="1"/>
  <c r="F344" i="8"/>
  <c r="D344" i="8"/>
  <c r="C344" i="8" s="1"/>
  <c r="D340" i="6"/>
  <c r="E340" i="6" s="1"/>
  <c r="F340" i="6" s="1"/>
  <c r="H344" i="8" l="1"/>
  <c r="I344" i="8" s="1"/>
  <c r="F345" i="8"/>
  <c r="D345" i="8"/>
  <c r="C345" i="8" s="1"/>
  <c r="D341" i="6"/>
  <c r="E341" i="6" s="1"/>
  <c r="F341" i="6" s="1"/>
  <c r="H345" i="8" l="1"/>
  <c r="I345" i="8" s="1"/>
  <c r="D346" i="8"/>
  <c r="C346" i="8" s="1"/>
  <c r="F346" i="8"/>
  <c r="D342" i="6"/>
  <c r="E342" i="6" s="1"/>
  <c r="F342" i="6" s="1"/>
  <c r="H346" i="8" l="1"/>
  <c r="I346" i="8" s="1"/>
  <c r="D347" i="8"/>
  <c r="C347" i="8" s="1"/>
  <c r="F347" i="8"/>
  <c r="D343" i="6"/>
  <c r="E343" i="6" s="1"/>
  <c r="F343" i="6" s="1"/>
  <c r="H347" i="8" l="1"/>
  <c r="I347" i="8" s="1"/>
  <c r="D348" i="8"/>
  <c r="C348" i="8" s="1"/>
  <c r="F348" i="8"/>
  <c r="D344" i="6"/>
  <c r="E344" i="6" s="1"/>
  <c r="F344" i="6" s="1"/>
  <c r="H348" i="8" l="1"/>
  <c r="I348" i="8" s="1"/>
  <c r="D349" i="8"/>
  <c r="C349" i="8" s="1"/>
  <c r="F349" i="8"/>
  <c r="D345" i="6"/>
  <c r="E345" i="6" s="1"/>
  <c r="F345" i="6" s="1"/>
  <c r="H349" i="8" l="1"/>
  <c r="I349" i="8" s="1"/>
  <c r="D350" i="8"/>
  <c r="C350" i="8" s="1"/>
  <c r="F350" i="8"/>
  <c r="D346" i="6"/>
  <c r="E346" i="6" s="1"/>
  <c r="F346" i="6" s="1"/>
  <c r="H350" i="8" l="1"/>
  <c r="I350" i="8" s="1"/>
  <c r="F351" i="8"/>
  <c r="D351" i="8"/>
  <c r="C351" i="8" s="1"/>
  <c r="D347" i="6"/>
  <c r="E347" i="6" s="1"/>
  <c r="F347" i="6" s="1"/>
  <c r="H351" i="8" l="1"/>
  <c r="I351" i="8" s="1"/>
  <c r="F352" i="8"/>
  <c r="D352" i="8"/>
  <c r="C352" i="8" s="1"/>
  <c r="D348" i="6"/>
  <c r="E348" i="6" s="1"/>
  <c r="F348" i="6" s="1"/>
  <c r="H352" i="8" l="1"/>
  <c r="I352" i="8" s="1"/>
  <c r="D353" i="8"/>
  <c r="C353" i="8" s="1"/>
  <c r="F353" i="8"/>
  <c r="D349" i="6"/>
  <c r="E349" i="6" s="1"/>
  <c r="F349" i="6" s="1"/>
  <c r="F36" i="13" s="1"/>
  <c r="G36" i="13" s="1"/>
  <c r="E40" i="19" s="1"/>
  <c r="H353" i="8" l="1"/>
  <c r="I353" i="8" s="1"/>
  <c r="F354" i="8"/>
  <c r="D354" i="8"/>
  <c r="C354" i="8" s="1"/>
  <c r="D350" i="6"/>
  <c r="E350" i="6" s="1"/>
  <c r="F350" i="6" s="1"/>
  <c r="H354" i="8" l="1"/>
  <c r="I354" i="8" s="1"/>
  <c r="D355" i="8"/>
  <c r="C355" i="8" s="1"/>
  <c r="F355" i="8"/>
  <c r="D351" i="6"/>
  <c r="E351" i="6" s="1"/>
  <c r="F351" i="6" s="1"/>
  <c r="H355" i="8" l="1"/>
  <c r="I355" i="8" s="1"/>
  <c r="D356" i="8"/>
  <c r="C356" i="8" s="1"/>
  <c r="F356" i="8"/>
  <c r="D352" i="6"/>
  <c r="E352" i="6" s="1"/>
  <c r="F352" i="6" s="1"/>
  <c r="H356" i="8" l="1"/>
  <c r="I356" i="8" s="1"/>
  <c r="F357" i="8"/>
  <c r="D357" i="8"/>
  <c r="C357" i="8" s="1"/>
  <c r="D353" i="6"/>
  <c r="E353" i="6" s="1"/>
  <c r="F353" i="6" s="1"/>
  <c r="H357" i="8" l="1"/>
  <c r="I357" i="8" s="1"/>
  <c r="F358" i="8"/>
  <c r="D358" i="8"/>
  <c r="C358" i="8" s="1"/>
  <c r="D354" i="6"/>
  <c r="E354" i="6" s="1"/>
  <c r="F354" i="6" s="1"/>
  <c r="H358" i="8" l="1"/>
  <c r="I358" i="8" s="1"/>
  <c r="F359" i="8"/>
  <c r="D359" i="8"/>
  <c r="C359" i="8" s="1"/>
  <c r="D355" i="6"/>
  <c r="E355" i="6" s="1"/>
  <c r="F355" i="6" s="1"/>
  <c r="H359" i="8" l="1"/>
  <c r="I359" i="8" s="1"/>
  <c r="F360" i="8"/>
  <c r="D360" i="8"/>
  <c r="C360" i="8" s="1"/>
  <c r="D356" i="6"/>
  <c r="E356" i="6" s="1"/>
  <c r="F356" i="6" s="1"/>
  <c r="H360" i="8" l="1"/>
  <c r="I360" i="8" s="1"/>
  <c r="F361" i="8"/>
  <c r="D361" i="8"/>
  <c r="C361" i="8" s="1"/>
  <c r="D357" i="6"/>
  <c r="E357" i="6" s="1"/>
  <c r="F357" i="6" s="1"/>
  <c r="H361" i="8" l="1"/>
  <c r="I361" i="8" s="1"/>
  <c r="D362" i="8"/>
  <c r="C362" i="8" s="1"/>
  <c r="F362" i="8"/>
  <c r="D358" i="6"/>
  <c r="E358" i="6" s="1"/>
  <c r="F358" i="6" s="1"/>
  <c r="H362" i="8" l="1"/>
  <c r="I362" i="8" s="1"/>
  <c r="D363" i="8"/>
  <c r="C363" i="8" s="1"/>
  <c r="F363" i="8"/>
  <c r="D359" i="6"/>
  <c r="E359" i="6" s="1"/>
  <c r="F359" i="6" s="1"/>
  <c r="H363" i="8" l="1"/>
  <c r="I363" i="8" s="1"/>
  <c r="F364" i="8"/>
  <c r="D364" i="8"/>
  <c r="C364" i="8" s="1"/>
  <c r="D360" i="6"/>
  <c r="E360" i="6" s="1"/>
  <c r="F360" i="6" s="1"/>
  <c r="H364" i="8" l="1"/>
  <c r="I364" i="8" s="1"/>
  <c r="F365" i="8"/>
  <c r="D365" i="8"/>
  <c r="C365" i="8" s="1"/>
  <c r="D361" i="6"/>
  <c r="E361" i="6" s="1"/>
  <c r="F361" i="6" s="1"/>
  <c r="F37" i="13" s="1"/>
  <c r="G37" i="13" s="1"/>
  <c r="E41" i="19" s="1"/>
  <c r="H365" i="8" l="1"/>
  <c r="I365" i="8" s="1"/>
  <c r="F366" i="8"/>
  <c r="D366" i="8"/>
  <c r="C366" i="8" s="1"/>
  <c r="D362" i="6"/>
  <c r="E362" i="6" s="1"/>
  <c r="F362" i="6" s="1"/>
  <c r="H366" i="8" l="1"/>
  <c r="I366" i="8" s="1"/>
  <c r="D367" i="8"/>
  <c r="C367" i="8" s="1"/>
  <c r="F367" i="8"/>
  <c r="D363" i="6"/>
  <c r="E363" i="6" s="1"/>
  <c r="F363" i="6" s="1"/>
  <c r="H367" i="8" l="1"/>
  <c r="I367" i="8" s="1"/>
  <c r="F368" i="8"/>
  <c r="D368" i="8"/>
  <c r="C368" i="8" s="1"/>
  <c r="D364" i="6"/>
  <c r="E364" i="6" s="1"/>
  <c r="F364" i="6" s="1"/>
  <c r="H368" i="8" l="1"/>
  <c r="I368" i="8" s="1"/>
  <c r="F369" i="8"/>
  <c r="D369" i="8"/>
  <c r="C369" i="8" s="1"/>
  <c r="D365" i="6"/>
  <c r="E365" i="6" s="1"/>
  <c r="F365" i="6" s="1"/>
  <c r="H369" i="8" l="1"/>
  <c r="I369" i="8" s="1"/>
  <c r="D370" i="8"/>
  <c r="C370" i="8" s="1"/>
  <c r="F370" i="8"/>
  <c r="D366" i="6"/>
  <c r="E366" i="6" s="1"/>
  <c r="F366" i="6" s="1"/>
  <c r="H370" i="8" l="1"/>
  <c r="I370" i="8" s="1"/>
  <c r="F371" i="8"/>
  <c r="D371" i="8"/>
  <c r="C371" i="8" s="1"/>
  <c r="D367" i="6"/>
  <c r="E367" i="6" s="1"/>
  <c r="F367" i="6" s="1"/>
  <c r="H371" i="8" l="1"/>
  <c r="I371" i="8" s="1"/>
  <c r="D372" i="8"/>
  <c r="C372" i="8" s="1"/>
  <c r="F372" i="8"/>
  <c r="D368" i="6"/>
  <c r="E368" i="6" s="1"/>
  <c r="F368" i="6" s="1"/>
  <c r="H372" i="8" l="1"/>
  <c r="I372" i="8" s="1"/>
  <c r="D373" i="8"/>
  <c r="F373" i="8"/>
  <c r="D369" i="6"/>
  <c r="E369" i="6" s="1"/>
  <c r="F369" i="6" s="1"/>
  <c r="C373" i="8" l="1"/>
  <c r="L12" i="8"/>
  <c r="M16" i="8" s="1"/>
  <c r="D370" i="6"/>
  <c r="E370" i="6" s="1"/>
  <c r="F370" i="6" s="1"/>
  <c r="K12" i="8" l="1"/>
  <c r="H373" i="8"/>
  <c r="I373" i="8" s="1"/>
  <c r="D371" i="6"/>
  <c r="E371" i="6" s="1"/>
  <c r="F371" i="6" s="1"/>
  <c r="D372" i="6" l="1"/>
  <c r="E372" i="6" s="1"/>
  <c r="F372" i="6" s="1"/>
  <c r="D373" i="6" l="1"/>
  <c r="E373" i="6" s="1"/>
  <c r="F373" i="6" s="1"/>
  <c r="F38" i="13" s="1"/>
  <c r="G38" i="13" s="1"/>
  <c r="E42" i="19" s="1"/>
  <c r="D374" i="6" l="1"/>
  <c r="E374" i="6" s="1"/>
  <c r="F374" i="6" s="1"/>
  <c r="D6" i="6" l="1"/>
  <c r="P37" i="9" s="1"/>
  <c r="E6" i="6" l="1"/>
  <c r="F6" i="6" l="1"/>
  <c r="P35" i="9"/>
  <c r="J17" i="7"/>
  <c r="H6" i="6" l="1"/>
  <c r="J103" i="6"/>
  <c r="J306" i="6"/>
  <c r="J32" i="6"/>
  <c r="J259" i="6"/>
  <c r="J169" i="6"/>
  <c r="J161" i="6"/>
  <c r="J94" i="6"/>
  <c r="J251" i="6"/>
  <c r="J175" i="6"/>
  <c r="J245" i="6"/>
  <c r="K161" i="6" l="1"/>
  <c r="L161" i="6" s="1"/>
  <c r="Q161" i="6" s="1"/>
  <c r="K169" i="6"/>
  <c r="L169" i="6" s="1"/>
  <c r="Q169" i="6" s="1"/>
  <c r="K259" i="6"/>
  <c r="L259" i="6" s="1"/>
  <c r="Q259" i="6" s="1"/>
  <c r="K94" i="6"/>
  <c r="L94" i="6" s="1"/>
  <c r="Q94" i="6" s="1"/>
  <c r="K251" i="6"/>
  <c r="L251" i="6" s="1"/>
  <c r="Q251" i="6" s="1"/>
  <c r="K32" i="6"/>
  <c r="L32" i="6" s="1"/>
  <c r="Q32" i="6" s="1"/>
  <c r="K175" i="6"/>
  <c r="L175" i="6" s="1"/>
  <c r="Q175" i="6" s="1"/>
  <c r="K103" i="6"/>
  <c r="L103" i="6" s="1"/>
  <c r="Q103" i="6" s="1"/>
  <c r="K306" i="6"/>
  <c r="L306" i="6" s="1"/>
  <c r="Q306" i="6" s="1"/>
  <c r="K245" i="6"/>
  <c r="L245" i="6" s="1"/>
  <c r="Q245" i="6" s="1"/>
  <c r="J125" i="6"/>
  <c r="J26" i="6"/>
  <c r="K26" i="6" s="1"/>
  <c r="L26" i="6" s="1"/>
  <c r="J201" i="6"/>
  <c r="J374" i="6"/>
  <c r="J338" i="6"/>
  <c r="J314" i="6"/>
  <c r="J290" i="6"/>
  <c r="J266" i="6"/>
  <c r="J242" i="6"/>
  <c r="J218" i="6"/>
  <c r="J194" i="6"/>
  <c r="J170" i="6"/>
  <c r="J146" i="6"/>
  <c r="J122" i="6"/>
  <c r="J98" i="6"/>
  <c r="J74" i="6"/>
  <c r="J50" i="6"/>
  <c r="J157" i="6"/>
  <c r="J231" i="6"/>
  <c r="J293" i="6"/>
  <c r="J101" i="6"/>
  <c r="J274" i="6"/>
  <c r="J209" i="6"/>
  <c r="J276" i="6"/>
  <c r="J352" i="6"/>
  <c r="J340" i="6"/>
  <c r="J42" i="6"/>
  <c r="J95" i="6"/>
  <c r="J319" i="6"/>
  <c r="J129" i="6"/>
  <c r="J124" i="6"/>
  <c r="J214" i="6"/>
  <c r="J139" i="6"/>
  <c r="J56" i="6"/>
  <c r="J279" i="6"/>
  <c r="J153" i="6"/>
  <c r="J344" i="6"/>
  <c r="J305" i="6"/>
  <c r="J271" i="6"/>
  <c r="J52" i="6"/>
  <c r="J45" i="6"/>
  <c r="J193" i="6"/>
  <c r="J315" i="6"/>
  <c r="J219" i="6"/>
  <c r="J92" i="6"/>
  <c r="J68" i="6"/>
  <c r="J46" i="6"/>
  <c r="J359" i="6"/>
  <c r="J307" i="6"/>
  <c r="J181" i="6"/>
  <c r="J239" i="6"/>
  <c r="J100" i="6"/>
  <c r="J250" i="6"/>
  <c r="J43" i="6"/>
  <c r="J188" i="6"/>
  <c r="J341" i="6"/>
  <c r="J203" i="6"/>
  <c r="J120" i="6"/>
  <c r="J277" i="6"/>
  <c r="J179" i="6"/>
  <c r="J270" i="6"/>
  <c r="J244" i="6"/>
  <c r="J329" i="6"/>
  <c r="J58" i="6"/>
  <c r="J36" i="6"/>
  <c r="J108" i="6"/>
  <c r="J356" i="6"/>
  <c r="J317" i="6"/>
  <c r="J198" i="6"/>
  <c r="J281" i="6"/>
  <c r="J322" i="6"/>
  <c r="J335" i="6"/>
  <c r="J88" i="6"/>
  <c r="J127" i="6"/>
  <c r="J282" i="6"/>
  <c r="J35" i="6"/>
  <c r="J236" i="6"/>
  <c r="J164" i="6"/>
  <c r="J150" i="6"/>
  <c r="J257" i="6"/>
  <c r="J362" i="6"/>
  <c r="J205" i="6"/>
  <c r="J366" i="6"/>
  <c r="J190" i="6"/>
  <c r="J228" i="6"/>
  <c r="J333" i="6"/>
  <c r="J296" i="6"/>
  <c r="J291" i="6"/>
  <c r="J288" i="6"/>
  <c r="J77" i="6"/>
  <c r="J328" i="6"/>
  <c r="J226" i="6"/>
  <c r="J128" i="6"/>
  <c r="J49" i="6"/>
  <c r="J185" i="6"/>
  <c r="J141" i="6"/>
  <c r="J167" i="6"/>
  <c r="J27" i="6"/>
  <c r="J311" i="6"/>
  <c r="J268" i="6"/>
  <c r="J137" i="6"/>
  <c r="J71" i="6"/>
  <c r="J309" i="6"/>
  <c r="J310" i="6"/>
  <c r="J324" i="6"/>
  <c r="J342" i="6"/>
  <c r="J199" i="6"/>
  <c r="J285" i="6"/>
  <c r="J284" i="6"/>
  <c r="J82" i="6"/>
  <c r="J66" i="6"/>
  <c r="J106" i="6"/>
  <c r="J348" i="6"/>
  <c r="J355" i="6"/>
  <c r="J354" i="6"/>
  <c r="J173" i="6"/>
  <c r="J91" i="6"/>
  <c r="J47" i="6"/>
  <c r="J325" i="6"/>
  <c r="J79" i="6"/>
  <c r="J208" i="6"/>
  <c r="J168" i="6"/>
  <c r="J216" i="6"/>
  <c r="J222" i="6"/>
  <c r="J365" i="6"/>
  <c r="J51" i="6"/>
  <c r="J163" i="6"/>
  <c r="J294" i="6"/>
  <c r="J368" i="6"/>
  <c r="J298" i="6"/>
  <c r="J334" i="6"/>
  <c r="J350" i="6"/>
  <c r="J326" i="6"/>
  <c r="J302" i="6"/>
  <c r="J278" i="6"/>
  <c r="J254" i="6"/>
  <c r="J230" i="6"/>
  <c r="J206" i="6"/>
  <c r="J182" i="6"/>
  <c r="J158" i="6"/>
  <c r="J134" i="6"/>
  <c r="J110" i="6"/>
  <c r="J86" i="6"/>
  <c r="J38" i="6"/>
  <c r="J62" i="6"/>
  <c r="J70" i="6"/>
  <c r="J364" i="6"/>
  <c r="J123" i="6"/>
  <c r="J297" i="6"/>
  <c r="J61" i="6"/>
  <c r="J126" i="6"/>
  <c r="J34" i="6"/>
  <c r="J238" i="6"/>
  <c r="J48" i="6"/>
  <c r="J159" i="6"/>
  <c r="J63" i="6"/>
  <c r="J131" i="6"/>
  <c r="J172" i="6"/>
  <c r="J55" i="6"/>
  <c r="J272" i="6"/>
  <c r="J234" i="6"/>
  <c r="J41" i="6"/>
  <c r="J263" i="6"/>
  <c r="J360" i="6"/>
  <c r="J292" i="6"/>
  <c r="J130" i="6"/>
  <c r="J248" i="6"/>
  <c r="J221" i="6"/>
  <c r="J357" i="6"/>
  <c r="J81" i="6"/>
  <c r="J347" i="6"/>
  <c r="J349" i="6"/>
  <c r="J197" i="6"/>
  <c r="J204" i="6"/>
  <c r="J327" i="6"/>
  <c r="J29" i="6"/>
  <c r="J286" i="6"/>
  <c r="J295" i="6"/>
  <c r="J233" i="6"/>
  <c r="J156" i="6"/>
  <c r="J332" i="6"/>
  <c r="J136" i="6"/>
  <c r="J115" i="6"/>
  <c r="J54" i="6"/>
  <c r="J241" i="6"/>
  <c r="J147" i="6"/>
  <c r="J200" i="6"/>
  <c r="J229" i="6"/>
  <c r="J287" i="6"/>
  <c r="J202" i="6"/>
  <c r="J132" i="6"/>
  <c r="J112" i="6"/>
  <c r="J119" i="6"/>
  <c r="J371" i="6"/>
  <c r="J80" i="6"/>
  <c r="J192" i="6"/>
  <c r="J345" i="6"/>
  <c r="J265" i="6"/>
  <c r="J93" i="6"/>
  <c r="J351" i="6"/>
  <c r="J76" i="6"/>
  <c r="J237" i="6"/>
  <c r="J87" i="6"/>
  <c r="J28" i="6"/>
  <c r="J140" i="6"/>
  <c r="J211" i="6"/>
  <c r="J121" i="6"/>
  <c r="J343" i="6"/>
  <c r="J84" i="6"/>
  <c r="J64" i="6"/>
  <c r="J99" i="6"/>
  <c r="J118" i="6"/>
  <c r="J59" i="6"/>
  <c r="J151" i="6"/>
  <c r="J223" i="6"/>
  <c r="J65" i="6"/>
  <c r="J40" i="6"/>
  <c r="J217" i="6"/>
  <c r="J171" i="6"/>
  <c r="J144" i="6"/>
  <c r="J273" i="6"/>
  <c r="J90" i="6"/>
  <c r="J109" i="6"/>
  <c r="J361" i="6"/>
  <c r="J210" i="6"/>
  <c r="J116" i="6"/>
  <c r="J176" i="6"/>
  <c r="J240" i="6"/>
  <c r="J330" i="6"/>
  <c r="J370" i="6"/>
  <c r="J154" i="6"/>
  <c r="J189" i="6"/>
  <c r="J337" i="6"/>
  <c r="J331" i="6"/>
  <c r="J180" i="6"/>
  <c r="J318" i="6"/>
  <c r="J178" i="6"/>
  <c r="J113" i="6"/>
  <c r="J138" i="6"/>
  <c r="J269" i="6"/>
  <c r="J300" i="6"/>
  <c r="J243" i="6"/>
  <c r="J104" i="6"/>
  <c r="J308" i="6"/>
  <c r="J323" i="6"/>
  <c r="J336" i="6"/>
  <c r="J102" i="6"/>
  <c r="J224" i="6"/>
  <c r="J283" i="6"/>
  <c r="J33" i="6"/>
  <c r="J96" i="6"/>
  <c r="J256" i="6"/>
  <c r="J75" i="6"/>
  <c r="J184" i="6"/>
  <c r="J166" i="6"/>
  <c r="J303" i="6"/>
  <c r="J39" i="6"/>
  <c r="J191" i="6"/>
  <c r="J37" i="6"/>
  <c r="J213" i="6"/>
  <c r="J260" i="6"/>
  <c r="J69" i="6"/>
  <c r="J44" i="6"/>
  <c r="J145" i="6"/>
  <c r="J235" i="6"/>
  <c r="J301" i="6"/>
  <c r="J30" i="6"/>
  <c r="J247" i="6"/>
  <c r="J83" i="6"/>
  <c r="J225" i="6"/>
  <c r="J313" i="6"/>
  <c r="J212" i="6"/>
  <c r="J246" i="6"/>
  <c r="J358" i="6"/>
  <c r="J367" i="6"/>
  <c r="J262" i="6"/>
  <c r="J215" i="6"/>
  <c r="J369" i="6"/>
  <c r="J165" i="6"/>
  <c r="J207" i="6"/>
  <c r="J53" i="6"/>
  <c r="J196" i="6"/>
  <c r="J304" i="6"/>
  <c r="J264" i="6"/>
  <c r="J73" i="6"/>
  <c r="J249" i="6"/>
  <c r="J142" i="6"/>
  <c r="J227" i="6"/>
  <c r="J363" i="6"/>
  <c r="J111" i="6"/>
  <c r="J89" i="6"/>
  <c r="J346" i="6"/>
  <c r="J373" i="6"/>
  <c r="J220" i="6"/>
  <c r="N14" i="6"/>
  <c r="J149" i="6"/>
  <c r="J252" i="6"/>
  <c r="J353" i="6"/>
  <c r="J372" i="6"/>
  <c r="J232" i="6"/>
  <c r="J289" i="6"/>
  <c r="J267" i="6"/>
  <c r="J195" i="6"/>
  <c r="J85" i="6"/>
  <c r="J177" i="6"/>
  <c r="J107" i="6"/>
  <c r="J183" i="6"/>
  <c r="J160" i="6"/>
  <c r="J114" i="6"/>
  <c r="J57" i="6"/>
  <c r="J78" i="6"/>
  <c r="J133" i="6"/>
  <c r="J275" i="6"/>
  <c r="J72" i="6"/>
  <c r="J67" i="6"/>
  <c r="J135" i="6"/>
  <c r="J148" i="6"/>
  <c r="J155" i="6"/>
  <c r="J316" i="6"/>
  <c r="J117" i="6"/>
  <c r="J105" i="6"/>
  <c r="J97" i="6"/>
  <c r="J152" i="6"/>
  <c r="J253" i="6"/>
  <c r="J312" i="6"/>
  <c r="J280" i="6"/>
  <c r="J320" i="6"/>
  <c r="J299" i="6"/>
  <c r="J187" i="6"/>
  <c r="J174" i="6"/>
  <c r="J162" i="6"/>
  <c r="J258" i="6"/>
  <c r="J321" i="6"/>
  <c r="J255" i="6"/>
  <c r="J261" i="6"/>
  <c r="J143" i="6"/>
  <c r="J31" i="6"/>
  <c r="J339" i="6"/>
  <c r="J60" i="6"/>
  <c r="J186" i="6"/>
  <c r="P41" i="9"/>
  <c r="W7" i="6" l="1"/>
  <c r="W8" i="6" s="1"/>
  <c r="P13" i="9" s="1"/>
  <c r="I9" i="13"/>
  <c r="T9" i="13" s="1"/>
  <c r="Q26" i="6"/>
  <c r="P19" i="9" s="1"/>
  <c r="K60" i="6"/>
  <c r="L60" i="6" s="1"/>
  <c r="Q60" i="6" s="1"/>
  <c r="K154" i="6"/>
  <c r="L154" i="6" s="1"/>
  <c r="Q154" i="6" s="1"/>
  <c r="K282" i="6"/>
  <c r="L282" i="6" s="1"/>
  <c r="Q282" i="6" s="1"/>
  <c r="K370" i="6"/>
  <c r="L370" i="6" s="1"/>
  <c r="Q370" i="6" s="1"/>
  <c r="K302" i="6"/>
  <c r="L302" i="6" s="1"/>
  <c r="Q302" i="6" s="1"/>
  <c r="K244" i="6"/>
  <c r="L244" i="6" s="1"/>
  <c r="Q244" i="6" s="1"/>
  <c r="K98" i="6"/>
  <c r="L98" i="6" s="1"/>
  <c r="Q98" i="6" s="1"/>
  <c r="K289" i="6"/>
  <c r="L289" i="6" s="1"/>
  <c r="Q289" i="6" s="1"/>
  <c r="K330" i="6"/>
  <c r="L330" i="6" s="1"/>
  <c r="Q330" i="6" s="1"/>
  <c r="K40" i="6"/>
  <c r="L40" i="6" s="1"/>
  <c r="Q40" i="6" s="1"/>
  <c r="K332" i="6"/>
  <c r="L332" i="6" s="1"/>
  <c r="Q332" i="6" s="1"/>
  <c r="K357" i="6"/>
  <c r="L357" i="6" s="1"/>
  <c r="Q357" i="6" s="1"/>
  <c r="K131" i="6"/>
  <c r="L131" i="6" s="1"/>
  <c r="Q131" i="6" s="1"/>
  <c r="K62" i="6"/>
  <c r="L62" i="6" s="1"/>
  <c r="Q62" i="6" s="1"/>
  <c r="K326" i="6"/>
  <c r="L326" i="6" s="1"/>
  <c r="Q326" i="6" s="1"/>
  <c r="K208" i="6"/>
  <c r="L208" i="6" s="1"/>
  <c r="Q208" i="6" s="1"/>
  <c r="K284" i="6"/>
  <c r="L284" i="6" s="1"/>
  <c r="Q284" i="6" s="1"/>
  <c r="K167" i="6"/>
  <c r="L167" i="6" s="1"/>
  <c r="Q167" i="6" s="1"/>
  <c r="K228" i="6"/>
  <c r="L228" i="6" s="1"/>
  <c r="Q228" i="6" s="1"/>
  <c r="K88" i="6"/>
  <c r="L88" i="6" s="1"/>
  <c r="Q88" i="6" s="1"/>
  <c r="K270" i="6"/>
  <c r="L270" i="6" s="1"/>
  <c r="Q270" i="6" s="1"/>
  <c r="K307" i="6"/>
  <c r="L307" i="6" s="1"/>
  <c r="Q307" i="6" s="1"/>
  <c r="K344" i="6"/>
  <c r="L344" i="6" s="1"/>
  <c r="Q344" i="6" s="1"/>
  <c r="K352" i="6"/>
  <c r="L352" i="6" s="1"/>
  <c r="Q352" i="6" s="1"/>
  <c r="K122" i="6"/>
  <c r="L122" i="6" s="1"/>
  <c r="Q122" i="6" s="1"/>
  <c r="K195" i="6"/>
  <c r="L195" i="6" s="1"/>
  <c r="Q195" i="6" s="1"/>
  <c r="K364" i="6"/>
  <c r="L364" i="6" s="1"/>
  <c r="Q364" i="6" s="1"/>
  <c r="K271" i="6"/>
  <c r="L271" i="6" s="1"/>
  <c r="Q271" i="6" s="1"/>
  <c r="K369" i="6"/>
  <c r="L369" i="6" s="1"/>
  <c r="Q369" i="6" s="1"/>
  <c r="K371" i="6"/>
  <c r="L371" i="6" s="1"/>
  <c r="Q371" i="6" s="1"/>
  <c r="K172" i="6"/>
  <c r="L172" i="6" s="1"/>
  <c r="Q172" i="6" s="1"/>
  <c r="K333" i="6"/>
  <c r="L333" i="6" s="1"/>
  <c r="Q333" i="6" s="1"/>
  <c r="K305" i="6"/>
  <c r="L305" i="6" s="1"/>
  <c r="Q305" i="6" s="1"/>
  <c r="K340" i="6"/>
  <c r="L340" i="6" s="1"/>
  <c r="Q340" i="6" s="1"/>
  <c r="K31" i="6"/>
  <c r="L31" i="6" s="1"/>
  <c r="Q31" i="6" s="1"/>
  <c r="K275" i="6"/>
  <c r="L275" i="6" s="1"/>
  <c r="Q275" i="6" s="1"/>
  <c r="K215" i="6"/>
  <c r="L215" i="6" s="1"/>
  <c r="Q215" i="6" s="1"/>
  <c r="K300" i="6"/>
  <c r="L300" i="6" s="1"/>
  <c r="Q300" i="6" s="1"/>
  <c r="K119" i="6"/>
  <c r="L119" i="6" s="1"/>
  <c r="Q119" i="6" s="1"/>
  <c r="K143" i="6"/>
  <c r="L143" i="6" s="1"/>
  <c r="Q143" i="6" s="1"/>
  <c r="K253" i="6"/>
  <c r="L253" i="6" s="1"/>
  <c r="Q253" i="6" s="1"/>
  <c r="K133" i="6"/>
  <c r="L133" i="6" s="1"/>
  <c r="Q133" i="6" s="1"/>
  <c r="K232" i="6"/>
  <c r="L232" i="6" s="1"/>
  <c r="Q232" i="6" s="1"/>
  <c r="K227" i="6"/>
  <c r="L227" i="6" s="1"/>
  <c r="Q227" i="6" s="1"/>
  <c r="K262" i="6"/>
  <c r="L262" i="6" s="1"/>
  <c r="Q262" i="6" s="1"/>
  <c r="K145" i="6"/>
  <c r="L145" i="6" s="1"/>
  <c r="Q145" i="6" s="1"/>
  <c r="K256" i="6"/>
  <c r="L256" i="6" s="1"/>
  <c r="Q256" i="6" s="1"/>
  <c r="K269" i="6"/>
  <c r="L269" i="6" s="1"/>
  <c r="Q269" i="6" s="1"/>
  <c r="K240" i="6"/>
  <c r="L240" i="6" s="1"/>
  <c r="Q240" i="6" s="1"/>
  <c r="K65" i="6"/>
  <c r="L65" i="6" s="1"/>
  <c r="Q65" i="6" s="1"/>
  <c r="K28" i="6"/>
  <c r="L28" i="6" s="1"/>
  <c r="Q28" i="6" s="1"/>
  <c r="K112" i="6"/>
  <c r="L112" i="6" s="1"/>
  <c r="Q112" i="6" s="1"/>
  <c r="K156" i="6"/>
  <c r="L156" i="6" s="1"/>
  <c r="Q156" i="6" s="1"/>
  <c r="K221" i="6"/>
  <c r="L221" i="6" s="1"/>
  <c r="Q221" i="6" s="1"/>
  <c r="K63" i="6"/>
  <c r="L63" i="6" s="1"/>
  <c r="Q63" i="6" s="1"/>
  <c r="K38" i="6"/>
  <c r="L38" i="6" s="1"/>
  <c r="Q38" i="6" s="1"/>
  <c r="K350" i="6"/>
  <c r="L350" i="6" s="1"/>
  <c r="Q350" i="6" s="1"/>
  <c r="K79" i="6"/>
  <c r="L79" i="6" s="1"/>
  <c r="Q79" i="6" s="1"/>
  <c r="K285" i="6"/>
  <c r="L285" i="6" s="1"/>
  <c r="Q285" i="6" s="1"/>
  <c r="K141" i="6"/>
  <c r="L141" i="6" s="1"/>
  <c r="Q141" i="6" s="1"/>
  <c r="K190" i="6"/>
  <c r="L190" i="6" s="1"/>
  <c r="Q190" i="6" s="1"/>
  <c r="K335" i="6"/>
  <c r="L335" i="6" s="1"/>
  <c r="Q335" i="6" s="1"/>
  <c r="K179" i="6"/>
  <c r="L179" i="6" s="1"/>
  <c r="Q179" i="6" s="1"/>
  <c r="K359" i="6"/>
  <c r="L359" i="6" s="1"/>
  <c r="Q359" i="6" s="1"/>
  <c r="K153" i="6"/>
  <c r="L153" i="6" s="1"/>
  <c r="Q153" i="6" s="1"/>
  <c r="K276" i="6"/>
  <c r="L276" i="6" s="1"/>
  <c r="Q276" i="6" s="1"/>
  <c r="K146" i="6"/>
  <c r="L146" i="6" s="1"/>
  <c r="Q146" i="6" s="1"/>
  <c r="K125" i="6"/>
  <c r="L125" i="6" s="1"/>
  <c r="Q125" i="6" s="1"/>
  <c r="K89" i="6"/>
  <c r="L89" i="6" s="1"/>
  <c r="Q89" i="6" s="1"/>
  <c r="K30" i="6"/>
  <c r="L30" i="6" s="1"/>
  <c r="Q30" i="6" s="1"/>
  <c r="K80" i="6"/>
  <c r="L80" i="6" s="1"/>
  <c r="Q80" i="6" s="1"/>
  <c r="K278" i="6"/>
  <c r="L278" i="6" s="1"/>
  <c r="Q278" i="6" s="1"/>
  <c r="K239" i="6"/>
  <c r="L239" i="6" s="1"/>
  <c r="Q239" i="6" s="1"/>
  <c r="K267" i="6"/>
  <c r="L267" i="6" s="1"/>
  <c r="Q267" i="6" s="1"/>
  <c r="K243" i="6"/>
  <c r="L243" i="6" s="1"/>
  <c r="Q243" i="6" s="1"/>
  <c r="K211" i="6"/>
  <c r="L211" i="6" s="1"/>
  <c r="Q211" i="6" s="1"/>
  <c r="K136" i="6"/>
  <c r="L136" i="6" s="1"/>
  <c r="Q136" i="6" s="1"/>
  <c r="K81" i="6"/>
  <c r="L81" i="6" s="1"/>
  <c r="Q81" i="6" s="1"/>
  <c r="K168" i="6"/>
  <c r="L168" i="6" s="1"/>
  <c r="Q168" i="6" s="1"/>
  <c r="K82" i="6"/>
  <c r="L82" i="6" s="1"/>
  <c r="Q82" i="6" s="1"/>
  <c r="K27" i="6"/>
  <c r="L27" i="6" s="1"/>
  <c r="Q27" i="6" s="1"/>
  <c r="K127" i="6"/>
  <c r="L127" i="6" s="1"/>
  <c r="Q127" i="6" s="1"/>
  <c r="K181" i="6"/>
  <c r="L181" i="6" s="1"/>
  <c r="Q181" i="6" s="1"/>
  <c r="K201" i="6"/>
  <c r="L201" i="6" s="1"/>
  <c r="Q201" i="6" s="1"/>
  <c r="K312" i="6"/>
  <c r="L312" i="6" s="1"/>
  <c r="Q312" i="6" s="1"/>
  <c r="K363" i="6"/>
  <c r="L363" i="6" s="1"/>
  <c r="Q363" i="6" s="1"/>
  <c r="K235" i="6"/>
  <c r="L235" i="6" s="1"/>
  <c r="Q235" i="6" s="1"/>
  <c r="K75" i="6"/>
  <c r="L75" i="6" s="1"/>
  <c r="Q75" i="6" s="1"/>
  <c r="K140" i="6"/>
  <c r="L140" i="6" s="1"/>
  <c r="Q140" i="6" s="1"/>
  <c r="K261" i="6"/>
  <c r="L261" i="6" s="1"/>
  <c r="Q261" i="6" s="1"/>
  <c r="K152" i="6"/>
  <c r="L152" i="6" s="1"/>
  <c r="Q152" i="6" s="1"/>
  <c r="K78" i="6"/>
  <c r="L78" i="6" s="1"/>
  <c r="Q78" i="6" s="1"/>
  <c r="K372" i="6"/>
  <c r="L372" i="6" s="1"/>
  <c r="Q372" i="6" s="1"/>
  <c r="K142" i="6"/>
  <c r="L142" i="6" s="1"/>
  <c r="Q142" i="6" s="1"/>
  <c r="K367" i="6"/>
  <c r="L367" i="6" s="1"/>
  <c r="Q367" i="6" s="1"/>
  <c r="K44" i="6"/>
  <c r="L44" i="6" s="1"/>
  <c r="Q44" i="6" s="1"/>
  <c r="K96" i="6"/>
  <c r="L96" i="6" s="1"/>
  <c r="Q96" i="6" s="1"/>
  <c r="K138" i="6"/>
  <c r="L138" i="6" s="1"/>
  <c r="Q138" i="6" s="1"/>
  <c r="K176" i="6"/>
  <c r="L176" i="6" s="1"/>
  <c r="Q176" i="6" s="1"/>
  <c r="K223" i="6"/>
  <c r="L223" i="6" s="1"/>
  <c r="Q223" i="6" s="1"/>
  <c r="K87" i="6"/>
  <c r="L87" i="6" s="1"/>
  <c r="Q87" i="6" s="1"/>
  <c r="K132" i="6"/>
  <c r="L132" i="6" s="1"/>
  <c r="Q132" i="6" s="1"/>
  <c r="K233" i="6"/>
  <c r="L233" i="6" s="1"/>
  <c r="Q233" i="6" s="1"/>
  <c r="K248" i="6"/>
  <c r="L248" i="6" s="1"/>
  <c r="Q248" i="6" s="1"/>
  <c r="K159" i="6"/>
  <c r="L159" i="6" s="1"/>
  <c r="Q159" i="6" s="1"/>
  <c r="K86" i="6"/>
  <c r="L86" i="6" s="1"/>
  <c r="Q86" i="6" s="1"/>
  <c r="K334" i="6"/>
  <c r="L334" i="6" s="1"/>
  <c r="Q334" i="6" s="1"/>
  <c r="K325" i="6"/>
  <c r="L325" i="6" s="1"/>
  <c r="Q325" i="6" s="1"/>
  <c r="K199" i="6"/>
  <c r="L199" i="6" s="1"/>
  <c r="Q199" i="6" s="1"/>
  <c r="K185" i="6"/>
  <c r="L185" i="6" s="1"/>
  <c r="Q185" i="6" s="1"/>
  <c r="K366" i="6"/>
  <c r="L366" i="6" s="1"/>
  <c r="Q366" i="6" s="1"/>
  <c r="K322" i="6"/>
  <c r="L322" i="6" s="1"/>
  <c r="Q322" i="6" s="1"/>
  <c r="K277" i="6"/>
  <c r="L277" i="6" s="1"/>
  <c r="Q277" i="6" s="1"/>
  <c r="K46" i="6"/>
  <c r="L46" i="6" s="1"/>
  <c r="Q46" i="6" s="1"/>
  <c r="K279" i="6"/>
  <c r="L279" i="6" s="1"/>
  <c r="Q279" i="6" s="1"/>
  <c r="K209" i="6"/>
  <c r="L209" i="6" s="1"/>
  <c r="Q209" i="6" s="1"/>
  <c r="K170" i="6"/>
  <c r="L170" i="6" s="1"/>
  <c r="Q170" i="6" s="1"/>
  <c r="K320" i="6"/>
  <c r="L320" i="6" s="1"/>
  <c r="Q320" i="6" s="1"/>
  <c r="K121" i="6"/>
  <c r="L121" i="6" s="1"/>
  <c r="Q121" i="6" s="1"/>
  <c r="K216" i="6"/>
  <c r="L216" i="6" s="1"/>
  <c r="Q216" i="6" s="1"/>
  <c r="K74" i="6"/>
  <c r="L74" i="6" s="1"/>
  <c r="Q74" i="6" s="1"/>
  <c r="K111" i="6"/>
  <c r="L111" i="6" s="1"/>
  <c r="Q111" i="6" s="1"/>
  <c r="K217" i="6"/>
  <c r="L217" i="6" s="1"/>
  <c r="Q217" i="6" s="1"/>
  <c r="K70" i="6"/>
  <c r="L70" i="6" s="1"/>
  <c r="Q70" i="6" s="1"/>
  <c r="K255" i="6"/>
  <c r="L255" i="6" s="1"/>
  <c r="Q255" i="6" s="1"/>
  <c r="K97" i="6"/>
  <c r="L97" i="6" s="1"/>
  <c r="Q97" i="6" s="1"/>
  <c r="K57" i="6"/>
  <c r="L57" i="6" s="1"/>
  <c r="Q57" i="6" s="1"/>
  <c r="K353" i="6"/>
  <c r="L353" i="6" s="1"/>
  <c r="Q353" i="6" s="1"/>
  <c r="K249" i="6"/>
  <c r="L249" i="6" s="1"/>
  <c r="Q249" i="6" s="1"/>
  <c r="K358" i="6"/>
  <c r="L358" i="6" s="1"/>
  <c r="Q358" i="6" s="1"/>
  <c r="K69" i="6"/>
  <c r="L69" i="6" s="1"/>
  <c r="Q69" i="6" s="1"/>
  <c r="K33" i="6"/>
  <c r="K113" i="6"/>
  <c r="L113" i="6" s="1"/>
  <c r="Q113" i="6" s="1"/>
  <c r="K116" i="6"/>
  <c r="L116" i="6" s="1"/>
  <c r="Q116" i="6" s="1"/>
  <c r="K151" i="6"/>
  <c r="L151" i="6" s="1"/>
  <c r="Q151" i="6" s="1"/>
  <c r="K237" i="6"/>
  <c r="L237" i="6" s="1"/>
  <c r="Q237" i="6" s="1"/>
  <c r="K202" i="6"/>
  <c r="L202" i="6" s="1"/>
  <c r="Q202" i="6" s="1"/>
  <c r="K295" i="6"/>
  <c r="L295" i="6" s="1"/>
  <c r="Q295" i="6" s="1"/>
  <c r="K130" i="6"/>
  <c r="L130" i="6" s="1"/>
  <c r="Q130" i="6" s="1"/>
  <c r="K48" i="6"/>
  <c r="L48" i="6" s="1"/>
  <c r="Q48" i="6" s="1"/>
  <c r="K110" i="6"/>
  <c r="L110" i="6" s="1"/>
  <c r="Q110" i="6" s="1"/>
  <c r="K298" i="6"/>
  <c r="L298" i="6" s="1"/>
  <c r="Q298" i="6" s="1"/>
  <c r="K47" i="6"/>
  <c r="L47" i="6" s="1"/>
  <c r="Q47" i="6" s="1"/>
  <c r="K342" i="6"/>
  <c r="L342" i="6" s="1"/>
  <c r="Q342" i="6" s="1"/>
  <c r="K49" i="6"/>
  <c r="L49" i="6" s="1"/>
  <c r="Q49" i="6" s="1"/>
  <c r="K205" i="6"/>
  <c r="L205" i="6" s="1"/>
  <c r="Q205" i="6" s="1"/>
  <c r="K281" i="6"/>
  <c r="L281" i="6" s="1"/>
  <c r="Q281" i="6" s="1"/>
  <c r="K120" i="6"/>
  <c r="L120" i="6" s="1"/>
  <c r="Q120" i="6" s="1"/>
  <c r="K68" i="6"/>
  <c r="L68" i="6" s="1"/>
  <c r="Q68" i="6" s="1"/>
  <c r="K56" i="6"/>
  <c r="L56" i="6" s="1"/>
  <c r="Q56" i="6" s="1"/>
  <c r="K274" i="6"/>
  <c r="L274" i="6" s="1"/>
  <c r="Q274" i="6" s="1"/>
  <c r="K194" i="6"/>
  <c r="L194" i="6" s="1"/>
  <c r="Q194" i="6" s="1"/>
  <c r="K165" i="6"/>
  <c r="L165" i="6" s="1"/>
  <c r="Q165" i="6" s="1"/>
  <c r="K115" i="6"/>
  <c r="L115" i="6" s="1"/>
  <c r="Q115" i="6" s="1"/>
  <c r="K66" i="6"/>
  <c r="L66" i="6" s="1"/>
  <c r="Q66" i="6" s="1"/>
  <c r="K339" i="6"/>
  <c r="L339" i="6" s="1"/>
  <c r="Q339" i="6" s="1"/>
  <c r="K321" i="6"/>
  <c r="L321" i="6" s="1"/>
  <c r="Q321" i="6" s="1"/>
  <c r="K105" i="6"/>
  <c r="L105" i="6" s="1"/>
  <c r="Q105" i="6" s="1"/>
  <c r="K114" i="6"/>
  <c r="L114" i="6" s="1"/>
  <c r="Q114" i="6" s="1"/>
  <c r="K252" i="6"/>
  <c r="L252" i="6" s="1"/>
  <c r="Q252" i="6" s="1"/>
  <c r="K73" i="6"/>
  <c r="L73" i="6" s="1"/>
  <c r="Q73" i="6" s="1"/>
  <c r="K246" i="6"/>
  <c r="L246" i="6" s="1"/>
  <c r="Q246" i="6" s="1"/>
  <c r="K260" i="6"/>
  <c r="L260" i="6" s="1"/>
  <c r="Q260" i="6" s="1"/>
  <c r="K283" i="6"/>
  <c r="L283" i="6" s="1"/>
  <c r="Q283" i="6" s="1"/>
  <c r="K178" i="6"/>
  <c r="L178" i="6" s="1"/>
  <c r="Q178" i="6" s="1"/>
  <c r="K210" i="6"/>
  <c r="L210" i="6" s="1"/>
  <c r="Q210" i="6" s="1"/>
  <c r="K59" i="6"/>
  <c r="L59" i="6" s="1"/>
  <c r="Q59" i="6" s="1"/>
  <c r="K76" i="6"/>
  <c r="L76" i="6" s="1"/>
  <c r="Q76" i="6" s="1"/>
  <c r="K287" i="6"/>
  <c r="L287" i="6" s="1"/>
  <c r="Q287" i="6" s="1"/>
  <c r="K286" i="6"/>
  <c r="L286" i="6" s="1"/>
  <c r="Q286" i="6" s="1"/>
  <c r="K292" i="6"/>
  <c r="L292" i="6" s="1"/>
  <c r="Q292" i="6" s="1"/>
  <c r="K238" i="6"/>
  <c r="L238" i="6" s="1"/>
  <c r="Q238" i="6" s="1"/>
  <c r="K134" i="6"/>
  <c r="L134" i="6" s="1"/>
  <c r="Q134" i="6" s="1"/>
  <c r="K368" i="6"/>
  <c r="L368" i="6" s="1"/>
  <c r="Q368" i="6" s="1"/>
  <c r="K91" i="6"/>
  <c r="L91" i="6" s="1"/>
  <c r="Q91" i="6" s="1"/>
  <c r="K324" i="6"/>
  <c r="L324" i="6" s="1"/>
  <c r="Q324" i="6" s="1"/>
  <c r="K128" i="6"/>
  <c r="L128" i="6" s="1"/>
  <c r="Q128" i="6" s="1"/>
  <c r="K362" i="6"/>
  <c r="L362" i="6" s="1"/>
  <c r="Q362" i="6" s="1"/>
  <c r="K198" i="6"/>
  <c r="L198" i="6" s="1"/>
  <c r="Q198" i="6" s="1"/>
  <c r="K203" i="6"/>
  <c r="L203" i="6" s="1"/>
  <c r="Q203" i="6" s="1"/>
  <c r="K92" i="6"/>
  <c r="L92" i="6" s="1"/>
  <c r="Q92" i="6" s="1"/>
  <c r="K139" i="6"/>
  <c r="L139" i="6" s="1"/>
  <c r="Q139" i="6" s="1"/>
  <c r="K101" i="6"/>
  <c r="L101" i="6" s="1"/>
  <c r="Q101" i="6" s="1"/>
  <c r="K218" i="6"/>
  <c r="L218" i="6" s="1"/>
  <c r="Q218" i="6" s="1"/>
  <c r="K166" i="6"/>
  <c r="L166" i="6" s="1"/>
  <c r="Q166" i="6" s="1"/>
  <c r="K374" i="6"/>
  <c r="L374" i="6" s="1"/>
  <c r="K258" i="6"/>
  <c r="L258" i="6" s="1"/>
  <c r="Q258" i="6" s="1"/>
  <c r="K264" i="6"/>
  <c r="L264" i="6" s="1"/>
  <c r="Q264" i="6" s="1"/>
  <c r="K213" i="6"/>
  <c r="L213" i="6" s="1"/>
  <c r="Q213" i="6" s="1"/>
  <c r="K224" i="6"/>
  <c r="L224" i="6" s="1"/>
  <c r="Q224" i="6" s="1"/>
  <c r="K318" i="6"/>
  <c r="L318" i="6" s="1"/>
  <c r="Q318" i="6" s="1"/>
  <c r="K361" i="6"/>
  <c r="L361" i="6" s="1"/>
  <c r="Q361" i="6" s="1"/>
  <c r="K118" i="6"/>
  <c r="L118" i="6" s="1"/>
  <c r="Q118" i="6" s="1"/>
  <c r="K351" i="6"/>
  <c r="L351" i="6" s="1"/>
  <c r="Q351" i="6" s="1"/>
  <c r="K229" i="6"/>
  <c r="L229" i="6" s="1"/>
  <c r="Q229" i="6" s="1"/>
  <c r="K29" i="6"/>
  <c r="L29" i="6" s="1"/>
  <c r="Q29" i="6" s="1"/>
  <c r="K360" i="6"/>
  <c r="L360" i="6" s="1"/>
  <c r="Q360" i="6" s="1"/>
  <c r="K34" i="6"/>
  <c r="L34" i="6" s="1"/>
  <c r="Q34" i="6" s="1"/>
  <c r="K158" i="6"/>
  <c r="L158" i="6" s="1"/>
  <c r="Q158" i="6" s="1"/>
  <c r="K294" i="6"/>
  <c r="L294" i="6" s="1"/>
  <c r="Q294" i="6" s="1"/>
  <c r="K173" i="6"/>
  <c r="L173" i="6" s="1"/>
  <c r="Q173" i="6" s="1"/>
  <c r="K310" i="6"/>
  <c r="L310" i="6" s="1"/>
  <c r="Q310" i="6" s="1"/>
  <c r="K226" i="6"/>
  <c r="L226" i="6" s="1"/>
  <c r="Q226" i="6" s="1"/>
  <c r="K257" i="6"/>
  <c r="L257" i="6" s="1"/>
  <c r="Q257" i="6" s="1"/>
  <c r="K317" i="6"/>
  <c r="L317" i="6" s="1"/>
  <c r="Q317" i="6" s="1"/>
  <c r="K341" i="6"/>
  <c r="L341" i="6" s="1"/>
  <c r="Q341" i="6" s="1"/>
  <c r="K219" i="6"/>
  <c r="L219" i="6" s="1"/>
  <c r="Q219" i="6" s="1"/>
  <c r="K214" i="6"/>
  <c r="L214" i="6" s="1"/>
  <c r="Q214" i="6" s="1"/>
  <c r="K293" i="6"/>
  <c r="L293" i="6" s="1"/>
  <c r="Q293" i="6" s="1"/>
  <c r="K242" i="6"/>
  <c r="L242" i="6" s="1"/>
  <c r="Q242" i="6" s="1"/>
  <c r="K171" i="6"/>
  <c r="L171" i="6" s="1"/>
  <c r="Q171" i="6" s="1"/>
  <c r="K329" i="6"/>
  <c r="L329" i="6" s="1"/>
  <c r="Q329" i="6" s="1"/>
  <c r="K301" i="6"/>
  <c r="L301" i="6" s="1"/>
  <c r="Q301" i="6" s="1"/>
  <c r="K160" i="6"/>
  <c r="L160" i="6" s="1"/>
  <c r="Q160" i="6" s="1"/>
  <c r="K212" i="6"/>
  <c r="L212" i="6" s="1"/>
  <c r="Q212" i="6" s="1"/>
  <c r="K162" i="6"/>
  <c r="L162" i="6" s="1"/>
  <c r="Q162" i="6" s="1"/>
  <c r="K183" i="6"/>
  <c r="L183" i="6" s="1"/>
  <c r="Q183" i="6" s="1"/>
  <c r="K313" i="6"/>
  <c r="L313" i="6" s="1"/>
  <c r="Q313" i="6" s="1"/>
  <c r="K37" i="6"/>
  <c r="L37" i="6" s="1"/>
  <c r="Q37" i="6" s="1"/>
  <c r="K102" i="6"/>
  <c r="L102" i="6" s="1"/>
  <c r="Q102" i="6" s="1"/>
  <c r="K180" i="6"/>
  <c r="L180" i="6" s="1"/>
  <c r="Q180" i="6" s="1"/>
  <c r="K109" i="6"/>
  <c r="L109" i="6" s="1"/>
  <c r="Q109" i="6" s="1"/>
  <c r="K99" i="6"/>
  <c r="L99" i="6" s="1"/>
  <c r="Q99" i="6" s="1"/>
  <c r="K93" i="6"/>
  <c r="L93" i="6" s="1"/>
  <c r="Q93" i="6" s="1"/>
  <c r="K200" i="6"/>
  <c r="L200" i="6" s="1"/>
  <c r="Q200" i="6" s="1"/>
  <c r="K327" i="6"/>
  <c r="L327" i="6" s="1"/>
  <c r="Q327" i="6" s="1"/>
  <c r="K263" i="6"/>
  <c r="L263" i="6" s="1"/>
  <c r="Q263" i="6" s="1"/>
  <c r="K126" i="6"/>
  <c r="L126" i="6" s="1"/>
  <c r="Q126" i="6" s="1"/>
  <c r="K182" i="6"/>
  <c r="L182" i="6" s="1"/>
  <c r="Q182" i="6" s="1"/>
  <c r="K163" i="6"/>
  <c r="L163" i="6" s="1"/>
  <c r="Q163" i="6" s="1"/>
  <c r="K354" i="6"/>
  <c r="L354" i="6" s="1"/>
  <c r="Q354" i="6" s="1"/>
  <c r="K309" i="6"/>
  <c r="L309" i="6" s="1"/>
  <c r="Q309" i="6" s="1"/>
  <c r="K328" i="6"/>
  <c r="L328" i="6" s="1"/>
  <c r="Q328" i="6" s="1"/>
  <c r="K150" i="6"/>
  <c r="L150" i="6" s="1"/>
  <c r="Q150" i="6" s="1"/>
  <c r="K356" i="6"/>
  <c r="L356" i="6" s="1"/>
  <c r="Q356" i="6" s="1"/>
  <c r="K188" i="6"/>
  <c r="L188" i="6" s="1"/>
  <c r="Q188" i="6" s="1"/>
  <c r="K315" i="6"/>
  <c r="L315" i="6" s="1"/>
  <c r="Q315" i="6" s="1"/>
  <c r="K124" i="6"/>
  <c r="L124" i="6" s="1"/>
  <c r="Q124" i="6" s="1"/>
  <c r="K231" i="6"/>
  <c r="L231" i="6" s="1"/>
  <c r="Q231" i="6" s="1"/>
  <c r="K266" i="6"/>
  <c r="L266" i="6" s="1"/>
  <c r="Q266" i="6" s="1"/>
  <c r="K67" i="6"/>
  <c r="L67" i="6" s="1"/>
  <c r="Q67" i="6" s="1"/>
  <c r="K296" i="6"/>
  <c r="L296" i="6" s="1"/>
  <c r="Q296" i="6" s="1"/>
  <c r="K280" i="6"/>
  <c r="L280" i="6" s="1"/>
  <c r="Q280" i="6" s="1"/>
  <c r="K184" i="6"/>
  <c r="L184" i="6" s="1"/>
  <c r="Q184" i="6" s="1"/>
  <c r="K117" i="6"/>
  <c r="L117" i="6" s="1"/>
  <c r="Q117" i="6" s="1"/>
  <c r="K149" i="6"/>
  <c r="L149" i="6" s="1"/>
  <c r="Q149" i="6" s="1"/>
  <c r="K316" i="6"/>
  <c r="L316" i="6" s="1"/>
  <c r="Q316" i="6" s="1"/>
  <c r="K304" i="6"/>
  <c r="L304" i="6" s="1"/>
  <c r="Q304" i="6" s="1"/>
  <c r="K174" i="6"/>
  <c r="L174" i="6" s="1"/>
  <c r="Q174" i="6" s="1"/>
  <c r="K155" i="6"/>
  <c r="L155" i="6" s="1"/>
  <c r="Q155" i="6" s="1"/>
  <c r="K107" i="6"/>
  <c r="L107" i="6" s="1"/>
  <c r="Q107" i="6" s="1"/>
  <c r="K220" i="6"/>
  <c r="L220" i="6" s="1"/>
  <c r="Q220" i="6" s="1"/>
  <c r="K196" i="6"/>
  <c r="L196" i="6" s="1"/>
  <c r="Q196" i="6" s="1"/>
  <c r="K225" i="6"/>
  <c r="L225" i="6" s="1"/>
  <c r="Q225" i="6" s="1"/>
  <c r="K191" i="6"/>
  <c r="L191" i="6" s="1"/>
  <c r="Q191" i="6" s="1"/>
  <c r="K336" i="6"/>
  <c r="L336" i="6" s="1"/>
  <c r="Q336" i="6" s="1"/>
  <c r="K331" i="6"/>
  <c r="L331" i="6" s="1"/>
  <c r="Q331" i="6" s="1"/>
  <c r="K90" i="6"/>
  <c r="L90" i="6" s="1"/>
  <c r="Q90" i="6" s="1"/>
  <c r="K64" i="6"/>
  <c r="L64" i="6" s="1"/>
  <c r="Q64" i="6" s="1"/>
  <c r="K265" i="6"/>
  <c r="L265" i="6" s="1"/>
  <c r="Q265" i="6" s="1"/>
  <c r="K147" i="6"/>
  <c r="L147" i="6" s="1"/>
  <c r="Q147" i="6" s="1"/>
  <c r="K204" i="6"/>
  <c r="L204" i="6" s="1"/>
  <c r="Q204" i="6" s="1"/>
  <c r="K41" i="6"/>
  <c r="L41" i="6" s="1"/>
  <c r="Q41" i="6" s="1"/>
  <c r="K61" i="6"/>
  <c r="L61" i="6" s="1"/>
  <c r="Q61" i="6" s="1"/>
  <c r="K206" i="6"/>
  <c r="L206" i="6" s="1"/>
  <c r="Q206" i="6" s="1"/>
  <c r="K51" i="6"/>
  <c r="L51" i="6" s="1"/>
  <c r="Q51" i="6" s="1"/>
  <c r="K355" i="6"/>
  <c r="L355" i="6" s="1"/>
  <c r="Q355" i="6" s="1"/>
  <c r="K71" i="6"/>
  <c r="L71" i="6" s="1"/>
  <c r="Q71" i="6" s="1"/>
  <c r="K77" i="6"/>
  <c r="L77" i="6" s="1"/>
  <c r="Q77" i="6" s="1"/>
  <c r="K164" i="6"/>
  <c r="L164" i="6" s="1"/>
  <c r="Q164" i="6" s="1"/>
  <c r="K108" i="6"/>
  <c r="L108" i="6" s="1"/>
  <c r="Q108" i="6" s="1"/>
  <c r="K43" i="6"/>
  <c r="L43" i="6" s="1"/>
  <c r="Q43" i="6" s="1"/>
  <c r="K193" i="6"/>
  <c r="L193" i="6" s="1"/>
  <c r="Q193" i="6" s="1"/>
  <c r="K129" i="6"/>
  <c r="L129" i="6" s="1"/>
  <c r="Q129" i="6" s="1"/>
  <c r="K157" i="6"/>
  <c r="L157" i="6" s="1"/>
  <c r="Q157" i="6" s="1"/>
  <c r="K290" i="6"/>
  <c r="L290" i="6" s="1"/>
  <c r="Q290" i="6" s="1"/>
  <c r="K347" i="6"/>
  <c r="L347" i="6" s="1"/>
  <c r="Q347" i="6" s="1"/>
  <c r="K55" i="6"/>
  <c r="L55" i="6" s="1"/>
  <c r="Q55" i="6" s="1"/>
  <c r="K42" i="6"/>
  <c r="L42" i="6" s="1"/>
  <c r="Q42" i="6" s="1"/>
  <c r="K148" i="6"/>
  <c r="L148" i="6" s="1"/>
  <c r="Q148" i="6" s="1"/>
  <c r="K177" i="6"/>
  <c r="L177" i="6" s="1"/>
  <c r="Q177" i="6" s="1"/>
  <c r="K373" i="6"/>
  <c r="L373" i="6" s="1"/>
  <c r="Q373" i="6" s="1"/>
  <c r="K53" i="6"/>
  <c r="L53" i="6" s="1"/>
  <c r="Q53" i="6" s="1"/>
  <c r="K83" i="6"/>
  <c r="L83" i="6" s="1"/>
  <c r="Q83" i="6" s="1"/>
  <c r="K39" i="6"/>
  <c r="L39" i="6" s="1"/>
  <c r="Q39" i="6" s="1"/>
  <c r="K323" i="6"/>
  <c r="L323" i="6" s="1"/>
  <c r="Q323" i="6" s="1"/>
  <c r="K337" i="6"/>
  <c r="L337" i="6" s="1"/>
  <c r="Q337" i="6" s="1"/>
  <c r="K273" i="6"/>
  <c r="L273" i="6" s="1"/>
  <c r="Q273" i="6" s="1"/>
  <c r="K84" i="6"/>
  <c r="L84" i="6" s="1"/>
  <c r="Q84" i="6" s="1"/>
  <c r="K345" i="6"/>
  <c r="L345" i="6" s="1"/>
  <c r="Q345" i="6" s="1"/>
  <c r="K241" i="6"/>
  <c r="L241" i="6" s="1"/>
  <c r="Q241" i="6" s="1"/>
  <c r="K197" i="6"/>
  <c r="L197" i="6" s="1"/>
  <c r="Q197" i="6" s="1"/>
  <c r="K234" i="6"/>
  <c r="L234" i="6" s="1"/>
  <c r="Q234" i="6" s="1"/>
  <c r="K297" i="6"/>
  <c r="L297" i="6" s="1"/>
  <c r="Q297" i="6" s="1"/>
  <c r="K230" i="6"/>
  <c r="L230" i="6" s="1"/>
  <c r="Q230" i="6" s="1"/>
  <c r="K365" i="6"/>
  <c r="L365" i="6" s="1"/>
  <c r="Q365" i="6" s="1"/>
  <c r="K348" i="6"/>
  <c r="L348" i="6" s="1"/>
  <c r="Q348" i="6" s="1"/>
  <c r="K137" i="6"/>
  <c r="L137" i="6" s="1"/>
  <c r="Q137" i="6" s="1"/>
  <c r="K288" i="6"/>
  <c r="L288" i="6" s="1"/>
  <c r="Q288" i="6" s="1"/>
  <c r="K236" i="6"/>
  <c r="L236" i="6" s="1"/>
  <c r="Q236" i="6" s="1"/>
  <c r="K36" i="6"/>
  <c r="L36" i="6" s="1"/>
  <c r="Q36" i="6" s="1"/>
  <c r="K250" i="6"/>
  <c r="L250" i="6" s="1"/>
  <c r="Q250" i="6" s="1"/>
  <c r="K45" i="6"/>
  <c r="L45" i="6" s="1"/>
  <c r="Q45" i="6" s="1"/>
  <c r="K319" i="6"/>
  <c r="L319" i="6" s="1"/>
  <c r="Q319" i="6" s="1"/>
  <c r="K50" i="6"/>
  <c r="L50" i="6" s="1"/>
  <c r="Q50" i="6" s="1"/>
  <c r="K314" i="6"/>
  <c r="L314" i="6" s="1"/>
  <c r="Q314" i="6" s="1"/>
  <c r="K104" i="6"/>
  <c r="L104" i="6" s="1"/>
  <c r="Q104" i="6" s="1"/>
  <c r="K311" i="6"/>
  <c r="L311" i="6" s="1"/>
  <c r="Q311" i="6" s="1"/>
  <c r="K72" i="6"/>
  <c r="L72" i="6" s="1"/>
  <c r="Q72" i="6" s="1"/>
  <c r="K187" i="6"/>
  <c r="L187" i="6" s="1"/>
  <c r="Q187" i="6" s="1"/>
  <c r="K186" i="6"/>
  <c r="L186" i="6" s="1"/>
  <c r="Q186" i="6" s="1"/>
  <c r="K299" i="6"/>
  <c r="L299" i="6" s="1"/>
  <c r="Q299" i="6" s="1"/>
  <c r="K135" i="6"/>
  <c r="L135" i="6" s="1"/>
  <c r="Q135" i="6" s="1"/>
  <c r="K85" i="6"/>
  <c r="L85" i="6" s="1"/>
  <c r="Q85" i="6" s="1"/>
  <c r="K346" i="6"/>
  <c r="L346" i="6" s="1"/>
  <c r="Q346" i="6" s="1"/>
  <c r="K207" i="6"/>
  <c r="L207" i="6" s="1"/>
  <c r="Q207" i="6" s="1"/>
  <c r="K247" i="6"/>
  <c r="L247" i="6" s="1"/>
  <c r="Q247" i="6" s="1"/>
  <c r="K303" i="6"/>
  <c r="L303" i="6" s="1"/>
  <c r="Q303" i="6" s="1"/>
  <c r="K308" i="6"/>
  <c r="L308" i="6" s="1"/>
  <c r="Q308" i="6" s="1"/>
  <c r="K189" i="6"/>
  <c r="L189" i="6" s="1"/>
  <c r="Q189" i="6" s="1"/>
  <c r="K144" i="6"/>
  <c r="L144" i="6" s="1"/>
  <c r="Q144" i="6" s="1"/>
  <c r="K343" i="6"/>
  <c r="L343" i="6" s="1"/>
  <c r="Q343" i="6" s="1"/>
  <c r="K192" i="6"/>
  <c r="L192" i="6" s="1"/>
  <c r="Q192" i="6" s="1"/>
  <c r="K54" i="6"/>
  <c r="L54" i="6" s="1"/>
  <c r="Q54" i="6" s="1"/>
  <c r="K349" i="6"/>
  <c r="L349" i="6" s="1"/>
  <c r="Q349" i="6" s="1"/>
  <c r="K272" i="6"/>
  <c r="L272" i="6" s="1"/>
  <c r="Q272" i="6" s="1"/>
  <c r="K123" i="6"/>
  <c r="L123" i="6" s="1"/>
  <c r="Q123" i="6" s="1"/>
  <c r="K254" i="6"/>
  <c r="L254" i="6" s="1"/>
  <c r="Q254" i="6" s="1"/>
  <c r="K222" i="6"/>
  <c r="L222" i="6" s="1"/>
  <c r="Q222" i="6" s="1"/>
  <c r="K106" i="6"/>
  <c r="L106" i="6" s="1"/>
  <c r="Q106" i="6" s="1"/>
  <c r="K268" i="6"/>
  <c r="L268" i="6" s="1"/>
  <c r="Q268" i="6" s="1"/>
  <c r="K291" i="6"/>
  <c r="L291" i="6" s="1"/>
  <c r="Q291" i="6" s="1"/>
  <c r="K35" i="6"/>
  <c r="L35" i="6" s="1"/>
  <c r="Q35" i="6" s="1"/>
  <c r="K58" i="6"/>
  <c r="L58" i="6" s="1"/>
  <c r="Q58" i="6" s="1"/>
  <c r="K100" i="6"/>
  <c r="L100" i="6" s="1"/>
  <c r="Q100" i="6" s="1"/>
  <c r="K52" i="6"/>
  <c r="L52" i="6" s="1"/>
  <c r="Q52" i="6" s="1"/>
  <c r="K95" i="6"/>
  <c r="L95" i="6" s="1"/>
  <c r="Q95" i="6" s="1"/>
  <c r="K338" i="6"/>
  <c r="L338" i="6" s="1"/>
  <c r="Q338" i="6" s="1"/>
  <c r="L9" i="13" l="1"/>
  <c r="G13" i="19" s="1"/>
  <c r="M9" i="13"/>
  <c r="N374" i="6"/>
  <c r="I39" i="13" s="1"/>
  <c r="T39" i="13" s="1"/>
  <c r="Q374" i="6"/>
  <c r="N206" i="6"/>
  <c r="I25" i="13" s="1"/>
  <c r="T25" i="13" s="1"/>
  <c r="N194" i="6"/>
  <c r="I24" i="13" s="1"/>
  <c r="T24" i="13" s="1"/>
  <c r="N314" i="6"/>
  <c r="I34" i="13" s="1"/>
  <c r="T34" i="13" s="1"/>
  <c r="K6" i="6"/>
  <c r="N158" i="6"/>
  <c r="I21" i="13" s="1"/>
  <c r="T21" i="13" s="1"/>
  <c r="N74" i="6"/>
  <c r="I14" i="13" s="1"/>
  <c r="N110" i="6"/>
  <c r="I17" i="13" s="1"/>
  <c r="T17" i="13" s="1"/>
  <c r="N230" i="6"/>
  <c r="I27" i="13" s="1"/>
  <c r="T27" i="13" s="1"/>
  <c r="N146" i="6"/>
  <c r="I20" i="13" s="1"/>
  <c r="T20" i="13" s="1"/>
  <c r="N350" i="6"/>
  <c r="I37" i="13" s="1"/>
  <c r="T37" i="13" s="1"/>
  <c r="N38" i="6"/>
  <c r="N170" i="6"/>
  <c r="I22" i="13" s="1"/>
  <c r="T22" i="13" s="1"/>
  <c r="N362" i="6"/>
  <c r="I38" i="13" s="1"/>
  <c r="T38" i="13" s="1"/>
  <c r="N122" i="6"/>
  <c r="I18" i="13" s="1"/>
  <c r="T18" i="13" s="1"/>
  <c r="N98" i="6"/>
  <c r="I16" i="13" s="1"/>
  <c r="N266" i="6"/>
  <c r="I30" i="13" s="1"/>
  <c r="T30" i="13" s="1"/>
  <c r="N218" i="6"/>
  <c r="I26" i="13" s="1"/>
  <c r="T26" i="13" s="1"/>
  <c r="N338" i="6"/>
  <c r="I36" i="13" s="1"/>
  <c r="T36" i="13" s="1"/>
  <c r="N326" i="6"/>
  <c r="I35" i="13" s="1"/>
  <c r="T35" i="13" s="1"/>
  <c r="N302" i="6"/>
  <c r="I33" i="13" s="1"/>
  <c r="T33" i="13" s="1"/>
  <c r="N62" i="6"/>
  <c r="I13" i="13" s="1"/>
  <c r="T13" i="13" s="1"/>
  <c r="N254" i="6"/>
  <c r="I29" i="13" s="1"/>
  <c r="T29" i="13" s="1"/>
  <c r="N182" i="6"/>
  <c r="I23" i="13" s="1"/>
  <c r="T23" i="13" s="1"/>
  <c r="N290" i="6"/>
  <c r="I32" i="13" s="1"/>
  <c r="T32" i="13" s="1"/>
  <c r="N278" i="6"/>
  <c r="I31" i="13" s="1"/>
  <c r="T31" i="13" s="1"/>
  <c r="N242" i="6"/>
  <c r="I28" i="13" s="1"/>
  <c r="T28" i="13" s="1"/>
  <c r="N50" i="6"/>
  <c r="I12" i="13" s="1"/>
  <c r="T12" i="13" s="1"/>
  <c r="N134" i="6"/>
  <c r="I19" i="13" s="1"/>
  <c r="T19" i="13" s="1"/>
  <c r="N86" i="6"/>
  <c r="I15" i="13" s="1"/>
  <c r="L33" i="6"/>
  <c r="L6" i="6" s="1"/>
  <c r="H13" i="19" l="1"/>
  <c r="L13" i="19"/>
  <c r="M13" i="19" s="1"/>
  <c r="O9" i="13"/>
  <c r="T14" i="13"/>
  <c r="T15" i="13"/>
  <c r="T16" i="13"/>
  <c r="L31" i="13"/>
  <c r="L23" i="13"/>
  <c r="L26" i="13"/>
  <c r="L21" i="13"/>
  <c r="L28" i="13"/>
  <c r="L32" i="13"/>
  <c r="L19" i="13"/>
  <c r="L30" i="13"/>
  <c r="L38" i="13"/>
  <c r="G42" i="19" s="1"/>
  <c r="L42" i="19" s="1"/>
  <c r="L29" i="13"/>
  <c r="L20" i="13"/>
  <c r="L18" i="13"/>
  <c r="L39" i="13"/>
  <c r="G43" i="19" s="1"/>
  <c r="L43" i="19" s="1"/>
  <c r="L33" i="13"/>
  <c r="L27" i="13"/>
  <c r="L34" i="13"/>
  <c r="L25" i="13"/>
  <c r="L37" i="13"/>
  <c r="L35" i="13"/>
  <c r="L17" i="13"/>
  <c r="L24" i="13"/>
  <c r="L22" i="13"/>
  <c r="L36" i="13"/>
  <c r="P9" i="13"/>
  <c r="L15" i="13"/>
  <c r="L14" i="13"/>
  <c r="L16" i="13"/>
  <c r="L12" i="13"/>
  <c r="L13" i="13"/>
  <c r="M7" i="6"/>
  <c r="P43" i="9"/>
  <c r="I11" i="13"/>
  <c r="N26" i="6"/>
  <c r="I10" i="13" s="1"/>
  <c r="Q33" i="6"/>
  <c r="P45" i="9"/>
  <c r="O16" i="13" l="1"/>
  <c r="G20" i="19"/>
  <c r="O12" i="13"/>
  <c r="G16" i="19"/>
  <c r="O32" i="13"/>
  <c r="P32" i="13" s="1"/>
  <c r="G36" i="19"/>
  <c r="L36" i="19" s="1"/>
  <c r="O28" i="13"/>
  <c r="P28" i="13" s="1"/>
  <c r="G32" i="19"/>
  <c r="L32" i="19" s="1"/>
  <c r="O14" i="13"/>
  <c r="P14" i="13" s="1"/>
  <c r="G18" i="19"/>
  <c r="O21" i="13"/>
  <c r="P21" i="13" s="1"/>
  <c r="G25" i="19"/>
  <c r="L25" i="19" s="1"/>
  <c r="O15" i="13"/>
  <c r="G19" i="19"/>
  <c r="O27" i="13"/>
  <c r="P27" i="13" s="1"/>
  <c r="G31" i="19"/>
  <c r="L31" i="19" s="1"/>
  <c r="O26" i="13"/>
  <c r="P26" i="13" s="1"/>
  <c r="G30" i="19"/>
  <c r="L30" i="19" s="1"/>
  <c r="O37" i="13"/>
  <c r="P37" i="13" s="1"/>
  <c r="G41" i="19"/>
  <c r="L41" i="19" s="1"/>
  <c r="O25" i="13"/>
  <c r="P25" i="13" s="1"/>
  <c r="G29" i="19"/>
  <c r="L29" i="19" s="1"/>
  <c r="O34" i="13"/>
  <c r="P34" i="13" s="1"/>
  <c r="G38" i="19"/>
  <c r="L38" i="19" s="1"/>
  <c r="O33" i="13"/>
  <c r="G37" i="19"/>
  <c r="L37" i="19" s="1"/>
  <c r="O23" i="13"/>
  <c r="P23" i="13" s="1"/>
  <c r="G27" i="19"/>
  <c r="L27" i="19" s="1"/>
  <c r="O31" i="13"/>
  <c r="P31" i="13" s="1"/>
  <c r="G35" i="19"/>
  <c r="L35" i="19" s="1"/>
  <c r="T10" i="13"/>
  <c r="L10" i="13"/>
  <c r="O36" i="13"/>
  <c r="P36" i="13" s="1"/>
  <c r="G40" i="19"/>
  <c r="L40" i="19" s="1"/>
  <c r="O20" i="13"/>
  <c r="P20" i="13" s="1"/>
  <c r="G24" i="19"/>
  <c r="L24" i="19" s="1"/>
  <c r="T11" i="13"/>
  <c r="L11" i="13"/>
  <c r="G15" i="19" s="1"/>
  <c r="O22" i="13"/>
  <c r="P22" i="13" s="1"/>
  <c r="G26" i="19"/>
  <c r="L26" i="19" s="1"/>
  <c r="O29" i="13"/>
  <c r="P29" i="13" s="1"/>
  <c r="G33" i="19"/>
  <c r="L33" i="19" s="1"/>
  <c r="O24" i="13"/>
  <c r="P24" i="13" s="1"/>
  <c r="G28" i="19"/>
  <c r="L28" i="19" s="1"/>
  <c r="O18" i="13"/>
  <c r="P18" i="13" s="1"/>
  <c r="G22" i="19"/>
  <c r="L22" i="19" s="1"/>
  <c r="O17" i="13"/>
  <c r="P17" i="13" s="1"/>
  <c r="G21" i="19"/>
  <c r="O30" i="13"/>
  <c r="P30" i="13" s="1"/>
  <c r="G34" i="19"/>
  <c r="L34" i="19" s="1"/>
  <c r="O13" i="13"/>
  <c r="P13" i="13" s="1"/>
  <c r="G17" i="19"/>
  <c r="O35" i="13"/>
  <c r="P35" i="13" s="1"/>
  <c r="G39" i="19"/>
  <c r="L39" i="19" s="1"/>
  <c r="O19" i="13"/>
  <c r="P19" i="13" s="1"/>
  <c r="G23" i="19"/>
  <c r="L23" i="19" s="1"/>
  <c r="P33" i="13"/>
  <c r="P12" i="13"/>
  <c r="P15" i="13"/>
  <c r="P16" i="13"/>
  <c r="O38" i="13"/>
  <c r="O39" i="13"/>
  <c r="L18" i="19" l="1"/>
  <c r="L21" i="19"/>
  <c r="L17" i="19"/>
  <c r="L16" i="19"/>
  <c r="L15" i="19"/>
  <c r="L20" i="19"/>
  <c r="L19" i="19"/>
  <c r="O10" i="13"/>
  <c r="G14" i="19"/>
  <c r="P51" i="9"/>
  <c r="P39" i="13"/>
  <c r="P38" i="13"/>
  <c r="O11" i="13"/>
  <c r="V9" i="13"/>
  <c r="M10" i="13"/>
  <c r="M11" i="13" s="1"/>
  <c r="L14" i="19" l="1"/>
  <c r="M14" i="19" s="1"/>
  <c r="M15" i="19" s="1"/>
  <c r="M16" i="19" s="1"/>
  <c r="M17" i="19" s="1"/>
  <c r="M18" i="19" s="1"/>
  <c r="M19" i="19" s="1"/>
  <c r="M20" i="19" s="1"/>
  <c r="M21" i="19" s="1"/>
  <c r="M22" i="19" s="1"/>
  <c r="M23" i="19" s="1"/>
  <c r="M24" i="19" s="1"/>
  <c r="M25" i="19" s="1"/>
  <c r="M26" i="19" s="1"/>
  <c r="M27" i="19" s="1"/>
  <c r="M28" i="19" s="1"/>
  <c r="M29" i="19" s="1"/>
  <c r="M30" i="19" s="1"/>
  <c r="M31" i="19" s="1"/>
  <c r="M32" i="19" s="1"/>
  <c r="M33" i="19" s="1"/>
  <c r="M34" i="19" s="1"/>
  <c r="M35" i="19" s="1"/>
  <c r="M36" i="19" s="1"/>
  <c r="M37" i="19" s="1"/>
  <c r="M38" i="19" s="1"/>
  <c r="M39" i="19" s="1"/>
  <c r="M40" i="19" s="1"/>
  <c r="M41" i="19" s="1"/>
  <c r="M42" i="19" s="1"/>
  <c r="M43" i="19" s="1"/>
  <c r="N13" i="19" s="1"/>
  <c r="H14" i="19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H37" i="19" s="1"/>
  <c r="H38" i="19" s="1"/>
  <c r="H39" i="19" s="1"/>
  <c r="H40" i="19" s="1"/>
  <c r="H41" i="19" s="1"/>
  <c r="H42" i="19" s="1"/>
  <c r="H43" i="19" s="1"/>
  <c r="I13" i="19" s="1"/>
  <c r="W9" i="13"/>
  <c r="Y9" i="13"/>
  <c r="P11" i="13"/>
  <c r="P10" i="13"/>
  <c r="M12" i="13"/>
  <c r="Q9" i="13" l="1"/>
  <c r="Z44" i="13"/>
  <c r="Z45" i="13"/>
  <c r="Z40" i="13"/>
  <c r="Z43" i="13"/>
  <c r="Z41" i="13"/>
  <c r="Z42" i="13"/>
  <c r="Z46" i="13"/>
  <c r="Z47" i="13"/>
  <c r="Z48" i="13"/>
  <c r="Z49" i="13"/>
  <c r="Z9" i="13"/>
  <c r="Z37" i="13"/>
  <c r="Z20" i="13"/>
  <c r="Z29" i="13"/>
  <c r="Z16" i="13"/>
  <c r="Z35" i="13"/>
  <c r="Z18" i="13"/>
  <c r="Z32" i="13"/>
  <c r="Z21" i="13"/>
  <c r="Z27" i="13"/>
  <c r="Z30" i="13"/>
  <c r="Z23" i="13"/>
  <c r="Z31" i="13"/>
  <c r="Z22" i="13"/>
  <c r="Z15" i="13"/>
  <c r="Z19" i="13"/>
  <c r="Z34" i="13"/>
  <c r="Z24" i="13"/>
  <c r="Z17" i="13"/>
  <c r="Z12" i="13"/>
  <c r="Z36" i="13"/>
  <c r="Z28" i="13"/>
  <c r="Z14" i="13"/>
  <c r="Z33" i="13"/>
  <c r="Z25" i="13"/>
  <c r="Z13" i="13"/>
  <c r="Z26" i="13"/>
  <c r="Z39" i="13"/>
  <c r="Z38" i="13"/>
  <c r="Z10" i="13"/>
  <c r="Z11" i="13"/>
  <c r="Y12" i="13"/>
  <c r="M13" i="13"/>
  <c r="Y11" i="13" l="1"/>
  <c r="M14" i="13"/>
  <c r="M15" i="13" l="1"/>
  <c r="M16" i="13" l="1"/>
  <c r="M17" i="13" l="1"/>
  <c r="M18" i="13" l="1"/>
  <c r="M19" i="13" l="1"/>
  <c r="M20" i="13" l="1"/>
  <c r="M21" i="13" l="1"/>
  <c r="M22" i="13" l="1"/>
  <c r="M23" i="13" l="1"/>
  <c r="M24" i="13" l="1"/>
  <c r="M25" i="13" l="1"/>
  <c r="M26" i="13" l="1"/>
  <c r="M27" i="13" l="1"/>
  <c r="M28" i="13" l="1"/>
  <c r="M29" i="13" l="1"/>
  <c r="M30" i="13" l="1"/>
  <c r="M31" i="13" l="1"/>
  <c r="M32" i="13" l="1"/>
  <c r="M33" i="13" l="1"/>
  <c r="M34" i="13" l="1"/>
  <c r="M35" i="13" l="1"/>
  <c r="M36" i="13" l="1"/>
  <c r="M37" i="13" l="1"/>
  <c r="M38" i="13" l="1"/>
  <c r="M39" i="13" l="1"/>
  <c r="M40" i="13" l="1"/>
  <c r="M41" i="13" l="1"/>
  <c r="M42" i="13" l="1"/>
  <c r="M43" i="13" l="1"/>
  <c r="M44" i="13" l="1"/>
  <c r="M45" i="13" l="1"/>
  <c r="M46" i="13" l="1"/>
  <c r="M47" i="13" l="1"/>
  <c r="M48" i="13" l="1"/>
  <c r="M49" i="13" l="1"/>
  <c r="P53" i="9" s="1" a="1"/>
  <c r="P53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Garcia</author>
  </authors>
  <commentList>
    <comment ref="W7" authorId="0" shapeId="0" xr:uid="{0E130319-DD8E-44BD-B237-94140E0D8CD4}">
      <text>
        <r>
          <rPr>
            <b/>
            <sz val="9"/>
            <color indexed="81"/>
            <rFont val="Tahoma"/>
            <family val="2"/>
          </rPr>
          <t>1. Capital,
2. Intereses, 
3. Impuestos y 
4. Seguro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8" authorId="0" shapeId="0" xr:uid="{55015A1F-0AB7-4515-A899-7A419A4D6D5E}">
      <text>
        <r>
          <rPr>
            <b/>
            <sz val="9"/>
            <color indexed="81"/>
            <rFont val="Tahoma"/>
            <family val="2"/>
          </rPr>
          <t>1. Capital,
2. Intereses, 
3. Impuestos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Enrique Garcia</author>
  </authors>
  <commentList>
    <comment ref="J7" authorId="0" shapeId="0" xr:uid="{EDD9AF70-7FF1-4CAD-80C2-76E248598A25}">
      <text>
        <r>
          <rPr>
            <b/>
            <sz val="9"/>
            <color indexed="81"/>
            <rFont val="Tahoma"/>
            <family val="2"/>
          </rPr>
          <t>Aumentan con la inflacion en la medida que la plusvalia aumente el valor de la propiedad</t>
        </r>
      </text>
    </comment>
    <comment ref="E8" authorId="0" shapeId="0" xr:uid="{23CC3A9B-2886-4B52-99B4-946BE60B39C5}">
      <text>
        <r>
          <rPr>
            <b/>
            <sz val="9"/>
            <color indexed="81"/>
            <rFont val="Tahoma"/>
            <family val="2"/>
          </rPr>
          <t>Valor de la Propiedad (Plusvalia)</t>
        </r>
      </text>
    </comment>
    <comment ref="G8" authorId="0" shapeId="0" xr:uid="{C7B57765-E108-45ED-A325-AABE3E5FC363}">
      <text>
        <r>
          <rPr>
            <b/>
            <sz val="9"/>
            <color indexed="81"/>
            <rFont val="Tahoma"/>
            <family val="2"/>
          </rPr>
          <t>Home Equity = 
Value - Remaining Mortgage</t>
        </r>
      </text>
    </comment>
    <comment ref="S8" authorId="0" shapeId="0" xr:uid="{2FFE4DD8-6031-408D-8649-AAF1D0DFB0FF}">
      <text>
        <r>
          <rPr>
            <b/>
            <sz val="9"/>
            <color indexed="81"/>
            <rFont val="Tahoma"/>
            <family val="2"/>
          </rPr>
          <t>Aqui podria automatizarse a que reconozca el yield para cada periodo de la yield curve (maybe con =MOD() ?</t>
        </r>
      </text>
    </comment>
    <comment ref="U8" authorId="0" shapeId="0" xr:uid="{A79DC43F-76D5-45C8-BBE3-999865B98F7B}">
      <text>
        <r>
          <rPr>
            <b/>
            <sz val="9"/>
            <color indexed="81"/>
            <rFont val="Tahoma"/>
            <family val="2"/>
          </rPr>
          <t>Traigo a Valor Presente el Valor de la propiedad en 30 anios considerando la plusvalia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8" authorId="0" shapeId="0" xr:uid="{D08DBB46-CF56-4C7F-9D4A-1E5F03FEFB4B}">
      <text>
        <r>
          <rPr>
            <b/>
            <sz val="9"/>
            <color indexed="81"/>
            <rFont val="Tahoma"/>
            <family val="2"/>
          </rPr>
          <t>The internal rate of return is the interest rate received for an investment consisting of payments (negative values) and income (positive values) that occur at regular periods.</t>
        </r>
      </text>
    </comment>
    <comment ref="AB8" authorId="0" shapeId="0" xr:uid="{59291BF1-635A-49CB-AC0D-5EBAF226F4F6}">
      <text>
        <r>
          <rPr>
            <b/>
            <sz val="9"/>
            <color indexed="81"/>
            <rFont val="Tahoma"/>
            <family val="2"/>
          </rPr>
          <t>a lower WACC indicates a healthy business that's able to attract money from investors at a lower cost. A higher WACC usually coincides with businesses that are seen as riskier and need to compensate investors with higher returns to offset the level of volatility.</t>
        </r>
      </text>
    </comment>
    <comment ref="L9" authorId="0" shapeId="0" xr:uid="{BE1426A3-BED6-44BF-B85F-1BF57FE0F27F}">
      <text>
        <r>
          <rPr>
            <b/>
            <sz val="9"/>
            <color indexed="81"/>
            <rFont val="Tahoma"/>
            <family val="2"/>
          </rPr>
          <t>Incluye Anticipo</t>
        </r>
      </text>
    </comment>
    <comment ref="T9" authorId="0" shapeId="0" xr:uid="{F4B0EBFE-5712-4BD2-B213-6519A923F8FF}">
      <text>
        <r>
          <rPr>
            <b/>
            <sz val="9"/>
            <color indexed="81"/>
            <rFont val="Tahoma"/>
            <family val="2"/>
          </rPr>
          <t>Incluye Anticipo</t>
        </r>
      </text>
    </comment>
    <comment ref="AE9" authorId="0" shapeId="0" xr:uid="{78B17996-6E9F-42BD-9C76-2BD339DE869C}">
      <text>
        <r>
          <rPr>
            <b/>
            <sz val="9"/>
            <color indexed="81"/>
            <rFont val="Tahoma"/>
            <family val="2"/>
          </rPr>
          <t>The higher the debt-to-equity ratio, the riskier a company is often considered to be</t>
        </r>
      </text>
    </comment>
    <comment ref="AB13" authorId="0" shapeId="0" xr:uid="{FFDC9A20-E119-4838-937D-DF57146CB2BB}">
      <text>
        <r>
          <rPr>
            <b/>
            <sz val="9"/>
            <color indexed="81"/>
            <rFont val="Tahoma"/>
            <family val="2"/>
          </rPr>
          <t>*Nota:
Consideramos el Anticipo como Parte del Equity inicial.
El costo de Equity lo considero como si en lugar del anticipo de la casa se invirtiera en un S&amp;P500, que en este caso seria el costo de oportunidad.
Tambien se podria usar el crecimiento esperado de la plusvalia.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<sst xmlns="http://schemas.openxmlformats.org/spreadsheetml/2006/main" count="380" uniqueCount="284">
  <si>
    <t>tasa de interes annual</t>
  </si>
  <si>
    <t>frecuencia de capitalizacion</t>
  </si>
  <si>
    <t>tasa efectiva</t>
  </si>
  <si>
    <t>periodos (n de pagos)</t>
  </si>
  <si>
    <t>credito</t>
  </si>
  <si>
    <t>rentas</t>
  </si>
  <si>
    <t>Amortizacion</t>
  </si>
  <si>
    <t>anualidades vencidas</t>
  </si>
  <si>
    <t>rentas fijas</t>
  </si>
  <si>
    <t>El total de lo</t>
  </si>
  <si>
    <t>pagado al banco</t>
  </si>
  <si>
    <t>Los intereses pagados</t>
  </si>
  <si>
    <t>El capital pagado</t>
  </si>
  <si>
    <t>incluye capital</t>
  </si>
  <si>
    <t>e intereses</t>
  </si>
  <si>
    <t>factor de descuento (V)</t>
  </si>
  <si>
    <t>capital + intereses</t>
  </si>
  <si>
    <t>Interes
(van bajando)</t>
  </si>
  <si>
    <t>Saldo Insoluto
(va bajando)</t>
  </si>
  <si>
    <r>
      <rPr>
        <b/>
        <sz val="16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1"/>
        <color theme="1"/>
        <rFont val="Calibri"/>
        <family val="2"/>
        <scheme val="minor"/>
      </rPr>
      <t>la diferencia entre dos rentas en la formula</t>
    </r>
  </si>
  <si>
    <t>Mensual</t>
  </si>
  <si>
    <t>Total</t>
  </si>
  <si>
    <t>Costo/sqft</t>
  </si>
  <si>
    <t>Estimacion Lineal</t>
  </si>
  <si>
    <t>Propery Tax Annual</t>
  </si>
  <si>
    <t>Amortizacion Constante Annual</t>
  </si>
  <si>
    <t>Renta (Annual)
(va bajando)</t>
  </si>
  <si>
    <t>Pago Mensual (Mensualidades Vencidas o a fin de mes)</t>
  </si>
  <si>
    <t>periodo (anios)</t>
  </si>
  <si>
    <t>R_n
(comprobacion)</t>
  </si>
  <si>
    <t>Estimacion Logaritmica</t>
  </si>
  <si>
    <t>Estimacion Exponencial</t>
  </si>
  <si>
    <t>Renta (Mensual)
(pagos iguales)</t>
  </si>
  <si>
    <t>Amortizacion
(va aumentando)
Pago a Capital</t>
  </si>
  <si>
    <t>Amortizacion
(es igual)
Pago a Capital</t>
  </si>
  <si>
    <t>periodo (mes)</t>
  </si>
  <si>
    <t>Comprobacion</t>
  </si>
  <si>
    <t>annual</t>
  </si>
  <si>
    <r>
      <t xml:space="preserve">SISTEMA DE AMORTIZACION </t>
    </r>
    <r>
      <rPr>
        <b/>
        <sz val="11"/>
        <color rgb="FF00B0F0"/>
        <rFont val="Calibri"/>
        <family val="2"/>
        <scheme val="minor"/>
      </rPr>
      <t>CONSTANTE</t>
    </r>
    <r>
      <rPr>
        <sz val="11"/>
        <color theme="1"/>
        <rFont val="Calibri"/>
        <family val="2"/>
        <scheme val="minor"/>
      </rPr>
      <t xml:space="preserve"> o "aleman" - MENSUAL</t>
    </r>
  </si>
  <si>
    <r>
      <t xml:space="preserve">SISTEMA DE AMORTIZACION </t>
    </r>
    <r>
      <rPr>
        <b/>
        <sz val="11"/>
        <color rgb="FF00B0F0"/>
        <rFont val="Calibri"/>
        <family val="2"/>
        <scheme val="minor"/>
      </rPr>
      <t>CONSTANTE</t>
    </r>
    <r>
      <rPr>
        <sz val="11"/>
        <color theme="1"/>
        <rFont val="Calibri"/>
        <family val="2"/>
        <scheme val="minor"/>
      </rPr>
      <t xml:space="preserve"> o "aleman" - ANNUAL</t>
    </r>
  </si>
  <si>
    <r>
      <t xml:space="preserve">SISTEMA DE AMORTIZACION </t>
    </r>
    <r>
      <rPr>
        <b/>
        <sz val="11"/>
        <color rgb="FF00B050"/>
        <rFont val="Calibri"/>
        <family val="2"/>
        <scheme val="minor"/>
      </rPr>
      <t>GRADUAL</t>
    </r>
    <r>
      <rPr>
        <sz val="11"/>
        <color theme="1"/>
        <rFont val="Calibri"/>
        <family val="2"/>
        <scheme val="minor"/>
      </rPr>
      <t xml:space="preserve"> o "frances" - ANNUAL</t>
    </r>
  </si>
  <si>
    <t>Renta (Mensual)
(va bajando)</t>
  </si>
  <si>
    <t>periodo (Meses)</t>
  </si>
  <si>
    <t>Precio</t>
  </si>
  <si>
    <t>Tasa de interes</t>
  </si>
  <si>
    <t>Impuestos Anuales</t>
  </si>
  <si>
    <t>Prestamo</t>
  </si>
  <si>
    <t>anualidad (a_n)</t>
  </si>
  <si>
    <t>anualidad (a_n*12)</t>
  </si>
  <si>
    <t>Seguro Anual</t>
  </si>
  <si>
    <t>Seguro Mensual</t>
  </si>
  <si>
    <t>Total a Pagar de Impuestos</t>
  </si>
  <si>
    <t>Zillow</t>
  </si>
  <si>
    <t>Tax Property</t>
  </si>
  <si>
    <t>Plusvalia Estimada</t>
  </si>
  <si>
    <t>Plusvaila Estimada con base en datos de Zillow</t>
  </si>
  <si>
    <t>Property Tax Estimado con base en datos de Zillow</t>
  </si>
  <si>
    <t>Market Value</t>
  </si>
  <si>
    <t>Crecmiento</t>
  </si>
  <si>
    <t>https://www.zillow.com/homedetails/22024-Lester-St-Clinton-Township-MI-48035/170345534_zpid/</t>
  </si>
  <si>
    <t>Source:</t>
  </si>
  <si>
    <t>Compuesto</t>
  </si>
  <si>
    <t>Simple</t>
  </si>
  <si>
    <t>Continuo</t>
  </si>
  <si>
    <t>Crecmiento Annual</t>
  </si>
  <si>
    <t>Source: Zillow</t>
  </si>
  <si>
    <t>Macomb County</t>
  </si>
  <si>
    <t>with Mortgage</t>
  </si>
  <si>
    <t>https://worldpopulationreview.com/states/michigan/property-tax</t>
  </si>
  <si>
    <t>Gastos de Cierre</t>
  </si>
  <si>
    <t>Anticipo</t>
  </si>
  <si>
    <t>Median Macomb County</t>
  </si>
  <si>
    <r>
      <t xml:space="preserve">Los </t>
    </r>
    <r>
      <rPr>
        <b/>
        <sz val="11"/>
        <color rgb="FFFF0000"/>
        <rFont val="Calibri"/>
        <family val="2"/>
        <scheme val="minor"/>
      </rPr>
      <t>intereses</t>
    </r>
    <r>
      <rPr>
        <sz val="11"/>
        <color theme="1"/>
        <rFont val="Calibri"/>
        <family val="2"/>
        <scheme val="minor"/>
      </rPr>
      <t xml:space="preserve"> pagados</t>
    </r>
  </si>
  <si>
    <r>
      <t xml:space="preserve">El </t>
    </r>
    <r>
      <rPr>
        <b/>
        <sz val="11"/>
        <color rgb="FF00B050"/>
        <rFont val="Calibri"/>
        <family val="2"/>
        <scheme val="minor"/>
      </rPr>
      <t>capital</t>
    </r>
    <r>
      <rPr>
        <sz val="11"/>
        <color theme="1"/>
        <rFont val="Calibri"/>
        <family val="2"/>
        <scheme val="minor"/>
      </rPr>
      <t xml:space="preserve"> pagado</t>
    </r>
  </si>
  <si>
    <r>
      <t xml:space="preserve">incluye </t>
    </r>
    <r>
      <rPr>
        <b/>
        <sz val="11"/>
        <color rgb="FF00B050"/>
        <rFont val="Calibri"/>
        <family val="2"/>
        <scheme val="minor"/>
      </rPr>
      <t>capital</t>
    </r>
  </si>
  <si>
    <r>
      <t xml:space="preserve">e </t>
    </r>
    <r>
      <rPr>
        <b/>
        <sz val="11"/>
        <color rgb="FFFF0000"/>
        <rFont val="Calibri"/>
        <family val="2"/>
        <scheme val="minor"/>
      </rPr>
      <t>intereses</t>
    </r>
  </si>
  <si>
    <t>Subtotal</t>
  </si>
  <si>
    <r>
      <t xml:space="preserve">Total Pago </t>
    </r>
    <r>
      <rPr>
        <b/>
        <sz val="11"/>
        <color theme="7" tint="-0.249977111117893"/>
        <rFont val="Calibri"/>
        <family val="2"/>
        <scheme val="minor"/>
      </rPr>
      <t>Impuestos</t>
    </r>
  </si>
  <si>
    <r>
      <t xml:space="preserve">Total Pago </t>
    </r>
    <r>
      <rPr>
        <b/>
        <sz val="11"/>
        <color theme="8"/>
        <rFont val="Calibri"/>
        <family val="2"/>
        <scheme val="minor"/>
      </rPr>
      <t>Seguro</t>
    </r>
  </si>
  <si>
    <r>
      <rPr>
        <b/>
        <sz val="11"/>
        <color theme="8"/>
        <rFont val="Calibri"/>
        <family val="2"/>
        <scheme val="minor"/>
      </rPr>
      <t>Seguro</t>
    </r>
    <r>
      <rPr>
        <b/>
        <sz val="11"/>
        <color theme="1"/>
        <rFont val="Calibri"/>
        <family val="2"/>
        <scheme val="minor"/>
      </rPr>
      <t xml:space="preserve">
Mensual</t>
    </r>
  </si>
  <si>
    <r>
      <rPr>
        <b/>
        <sz val="11"/>
        <color rgb="FFFF0000"/>
        <rFont val="Calibri"/>
        <family val="2"/>
        <scheme val="minor"/>
      </rPr>
      <t>Interes</t>
    </r>
    <r>
      <rPr>
        <b/>
        <sz val="11"/>
        <color theme="1"/>
        <rFont val="Calibri"/>
        <family val="2"/>
        <scheme val="minor"/>
      </rPr>
      <t xml:space="preserve">
(van bajando)</t>
    </r>
  </si>
  <si>
    <r>
      <t xml:space="preserve">El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de lo</t>
    </r>
  </si>
  <si>
    <t>Interes</t>
  </si>
  <si>
    <t xml:space="preserve">Trash </t>
  </si>
  <si>
    <t>Hot Water</t>
  </si>
  <si>
    <t xml:space="preserve">Water </t>
  </si>
  <si>
    <t xml:space="preserve">Sewer </t>
  </si>
  <si>
    <t>Anio</t>
  </si>
  <si>
    <t>Periodo</t>
  </si>
  <si>
    <t>Gas &amp; Electricity</t>
  </si>
  <si>
    <t>Internet</t>
  </si>
  <si>
    <t>VPN &lt; 0 se rechaza el Proyecto</t>
  </si>
  <si>
    <t>VPN = 0 indiferente</t>
  </si>
  <si>
    <t>VPN &gt; 0 se acepta el Proyecto</t>
  </si>
  <si>
    <t>Date</t>
  </si>
  <si>
    <t>1 Mo</t>
  </si>
  <si>
    <t>1.5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</si>
  <si>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</si>
  <si>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</si>
  <si>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</si>
  <si>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</si>
  <si>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</si>
  <si>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</si>
  <si>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</si>
  <si>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</si>
  <si>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</si>
  <si>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</si>
  <si>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</si>
  <si>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</si>
  <si>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N/A</t>
  </si>
  <si>
    <t>Daily Treasury Par Yield Curve Rates</t>
  </si>
  <si>
    <t>https://home.treasury.gov/resource-center/data-chart-center/interest-rates/TextView?type=daily_treasury_yield_curve&amp;field_tdr_date_value=2025</t>
  </si>
  <si>
    <t>2024 Michigan Property Tax Millage Rates by County</t>
  </si>
  <si>
    <t>https://www.treadstonemortgage.com/blog/michigan-property-tax-millage-rates-by-county/</t>
  </si>
  <si>
    <t>https://www.michigan.gov/taxes/-/media/Project/Websites/taxes/4029/Total-Rates-Reports/2024-Total-Rates.pdf?rev=b670f0fd0ca04193af5abc9cb17462e3&amp;hash=A501588AFDC2F8E68DC7A57109C2C1DE</t>
  </si>
  <si>
    <t>Selling Price</t>
  </si>
  <si>
    <t>Assessed Value</t>
  </si>
  <si>
    <t>Millage</t>
  </si>
  <si>
    <t>Tax to pay</t>
  </si>
  <si>
    <t>Calculada Logaritmica - zillow</t>
  </si>
  <si>
    <t>Calculada Lineal - zillow</t>
  </si>
  <si>
    <t>Calculada Expopnencial - zillow</t>
  </si>
  <si>
    <t>Datos</t>
  </si>
  <si>
    <t>Source (pdf):</t>
  </si>
  <si>
    <t xml:space="preserve">Source (web): </t>
  </si>
  <si>
    <t>2024 Property Tax Rates in Michigan</t>
  </si>
  <si>
    <t>https://smartasset.com/taxes/michigan-property-tax-calculator#f7T5JD21xn</t>
  </si>
  <si>
    <t>Michigan Property Tax Calculator &amp; Interest Rate</t>
  </si>
  <si>
    <t>https://taxfoundation.org/data/all/state/property-taxes-by-state-county/</t>
  </si>
  <si>
    <t>Property Taxes by State and County, 2025</t>
  </si>
  <si>
    <t>https://treas-secure.state.mi.us/ptestimator</t>
  </si>
  <si>
    <t>Property Tax Estimator</t>
  </si>
  <si>
    <t>Links</t>
  </si>
  <si>
    <t>https://www.guidestone.org/Resources/Education/Calculators/Spanish/SPMortgageLoan</t>
  </si>
  <si>
    <t>Calculadora de préstamos hipotecarios</t>
  </si>
  <si>
    <t>Calculadores Online</t>
  </si>
  <si>
    <t>Promedio de Incremento de Impuestos Annual</t>
  </si>
  <si>
    <r>
      <t xml:space="preserve">SISTEMA DE AMORTIZACION </t>
    </r>
    <r>
      <rPr>
        <b/>
        <sz val="11"/>
        <color rgb="FF00B050"/>
        <rFont val="Calibri"/>
        <family val="2"/>
        <scheme val="minor"/>
      </rPr>
      <t>GRADUAL</t>
    </r>
    <r>
      <rPr>
        <b/>
        <sz val="11"/>
        <color theme="1"/>
        <rFont val="Calibri"/>
        <family val="2"/>
        <scheme val="minor"/>
      </rPr>
      <t xml:space="preserve"> o "frances" - MENSUAL</t>
    </r>
  </si>
  <si>
    <t>Mantenimiento
Mayor</t>
  </si>
  <si>
    <t>Utilities y
otros</t>
  </si>
  <si>
    <t>Home Value</t>
  </si>
  <si>
    <t>1% del Precio</t>
  </si>
  <si>
    <t>Saldo Insoluto
o Remaining Principal
(va bajando)</t>
  </si>
  <si>
    <t>Remaining Principal</t>
  </si>
  <si>
    <r>
      <rPr>
        <b/>
        <sz val="8"/>
        <rFont val="Calibri"/>
        <family val="2"/>
        <scheme val="minor"/>
      </rPr>
      <t>OCULTAR</t>
    </r>
    <r>
      <rPr>
        <sz val="8"/>
        <rFont val="Calibri"/>
        <family val="2"/>
        <scheme val="minor"/>
      </rPr>
      <t xml:space="preserve">
variable temporal
(renta+impuestos+seguro)</t>
    </r>
  </si>
  <si>
    <t>Annual Return S&amp;P 500</t>
  </si>
  <si>
    <t>including dividends</t>
  </si>
  <si>
    <t>adjusted for inflation</t>
  </si>
  <si>
    <t>Escenario 1</t>
  </si>
  <si>
    <t>Invertir el mismo "Cash Outflow" en un Fondo Indexado</t>
  </si>
  <si>
    <t>Escenario 2</t>
  </si>
  <si>
    <t>Incremento de Renta annual</t>
  </si>
  <si>
    <t>Seguro de la propiedad</t>
  </si>
  <si>
    <t>Jardineria (7 meses prorrateados)</t>
  </si>
  <si>
    <t>Sal para el hielo (5 meses prorrateados)</t>
  </si>
  <si>
    <t>Impuesto Anual estimados 2025</t>
  </si>
  <si>
    <t>Termino (años)</t>
  </si>
  <si>
    <t>Pago de Impuestos</t>
  </si>
  <si>
    <t>Anual</t>
  </si>
  <si>
    <t>Forma de Pago de Impuestos</t>
  </si>
  <si>
    <t>Incremento Impuesto Annual (promedio)</t>
  </si>
  <si>
    <t>Saldo minimo para no pagar seguro del credito</t>
  </si>
  <si>
    <t>Impuestos</t>
  </si>
  <si>
    <t>Pago total Mensual con seguro el 1er año</t>
  </si>
  <si>
    <t>Pago total Mensual sin seguro el 1er año</t>
  </si>
  <si>
    <r>
      <rPr>
        <b/>
        <sz val="8"/>
        <color theme="1"/>
        <rFont val="Calibri"/>
        <family val="2"/>
        <scheme val="minor"/>
      </rPr>
      <t>OCULTAR</t>
    </r>
    <r>
      <rPr>
        <sz val="8"/>
        <color theme="1"/>
        <rFont val="Calibri"/>
        <family val="2"/>
        <scheme val="minor"/>
      </rPr>
      <t xml:space="preserve">
variable temporal
Pago Total Acumulado con seguro hasta cubrir el 20%</t>
    </r>
  </si>
  <si>
    <t>Total a Pagar de Intereses</t>
  </si>
  <si>
    <t>Pago Total Mensual</t>
  </si>
  <si>
    <t>Pagos Totales</t>
  </si>
  <si>
    <t>Capital + Intereses (Mortgage)</t>
  </si>
  <si>
    <t>Seguro del Prestamo (si aplica)</t>
  </si>
  <si>
    <t>Mantenimientos Mayores</t>
  </si>
  <si>
    <t>Utilities</t>
  </si>
  <si>
    <t>Total a Pagar de Mantenimientos Mayores en 30 años</t>
  </si>
  <si>
    <t>Total a Pagar de Utilities en 30 años</t>
  </si>
  <si>
    <t>1.3% del Total a financiar</t>
  </si>
  <si>
    <t xml:space="preserve"> si el anticipo es menor al 20%</t>
  </si>
  <si>
    <t>TOTAL</t>
  </si>
  <si>
    <t>anualidad (a_n*12) anualidades vencidas</t>
  </si>
  <si>
    <t>rentas (mensuales) fijas</t>
  </si>
  <si>
    <r>
      <rPr>
        <b/>
        <sz val="11"/>
        <color rgb="FF00B050"/>
        <rFont val="Calibri"/>
        <family val="2"/>
        <scheme val="minor"/>
      </rPr>
      <t>capital</t>
    </r>
    <r>
      <rPr>
        <b/>
        <sz val="11"/>
        <color theme="1"/>
        <rFont val="Calibri"/>
        <family val="2"/>
        <scheme val="minor"/>
      </rPr>
      <t xml:space="preserve"> + </t>
    </r>
    <r>
      <rPr>
        <b/>
        <sz val="11"/>
        <color rgb="FFFF0000"/>
        <rFont val="Calibri"/>
        <family val="2"/>
        <scheme val="minor"/>
      </rPr>
      <t>intereses</t>
    </r>
    <r>
      <rPr>
        <b/>
        <sz val="11"/>
        <color theme="1"/>
        <rFont val="Calibri"/>
        <family val="2"/>
        <scheme val="minor"/>
      </rPr>
      <t xml:space="preserve"> + </t>
    </r>
    <r>
      <rPr>
        <b/>
        <sz val="11"/>
        <color theme="7" tint="-0.249977111117893"/>
        <rFont val="Calibri"/>
        <family val="2"/>
        <scheme val="minor"/>
      </rPr>
      <t>impuestos</t>
    </r>
    <r>
      <rPr>
        <b/>
        <sz val="11"/>
        <color theme="1"/>
        <rFont val="Calibri"/>
        <family val="2"/>
        <scheme val="minor"/>
      </rPr>
      <t xml:space="preserve"> + </t>
    </r>
    <r>
      <rPr>
        <b/>
        <sz val="11"/>
        <color rgb="FF0070C0"/>
        <rFont val="Calibri"/>
        <family val="2"/>
        <scheme val="minor"/>
      </rPr>
      <t>seguro</t>
    </r>
  </si>
  <si>
    <r>
      <rPr>
        <b/>
        <sz val="11"/>
        <color rgb="FF00B050"/>
        <rFont val="Calibri"/>
        <family val="2"/>
        <scheme val="minor"/>
      </rPr>
      <t>capital</t>
    </r>
    <r>
      <rPr>
        <b/>
        <sz val="11"/>
        <color theme="1"/>
        <rFont val="Calibri"/>
        <family val="2"/>
        <scheme val="minor"/>
      </rPr>
      <t xml:space="preserve"> + </t>
    </r>
    <r>
      <rPr>
        <b/>
        <sz val="11"/>
        <color rgb="FFFF0000"/>
        <rFont val="Calibri"/>
        <family val="2"/>
        <scheme val="minor"/>
      </rPr>
      <t>intereses</t>
    </r>
  </si>
  <si>
    <t>Total de Pagos mensuales</t>
  </si>
  <si>
    <t>Pago Total
Mensual
(credito, impuestos,
seguro del credito)</t>
  </si>
  <si>
    <t>Periodo
(mes)</t>
  </si>
  <si>
    <t>Año</t>
  </si>
  <si>
    <t>Tabla de Amortizacion</t>
  </si>
  <si>
    <t>Seguro del Credito Anual estimado 2025</t>
  </si>
  <si>
    <t>Pago Mensual del Mortgage o credito: Capital mas Intereses</t>
  </si>
  <si>
    <t>TOTAL a Pagar:  Capital + Intereses + Impuestos + Seguro</t>
  </si>
  <si>
    <t>Costos de Mantenimiento</t>
  </si>
  <si>
    <t>años</t>
  </si>
  <si>
    <r>
      <t xml:space="preserve">Yield Curve
</t>
    </r>
    <r>
      <rPr>
        <sz val="18"/>
        <color theme="0"/>
        <rFont val="Calibri"/>
        <family val="2"/>
        <scheme val="minor"/>
      </rPr>
      <t>r</t>
    </r>
  </si>
  <si>
    <t>Periodo
t=T</t>
  </si>
  <si>
    <t>Pago Total 
Anual
en cada
periodo</t>
  </si>
  <si>
    <t>Total de Pagos en 30 años</t>
  </si>
  <si>
    <t>Discounted Cash Flow (DCF)</t>
  </si>
  <si>
    <t>Cash Flows
por periodo
t=T</t>
  </si>
  <si>
    <t>del valor de
la propiedad</t>
  </si>
  <si>
    <t>crecimiento
annual</t>
  </si>
  <si>
    <t>DCF
=sum(PV CFs)</t>
  </si>
  <si>
    <t>PV CFs</t>
  </si>
  <si>
    <t>Total a Pagar de Capital</t>
  </si>
  <si>
    <t>Total a Pagar del Credito:    Capital + Intereses</t>
  </si>
  <si>
    <t>Pago TOTAL Mensual a partir del 2do año</t>
  </si>
  <si>
    <t>Impuestos (si se elige mensual)</t>
  </si>
  <si>
    <t>Pago Mensual Utilities 2o año</t>
  </si>
  <si>
    <t>Renta Mensual Inicial</t>
  </si>
  <si>
    <t>Diferencia</t>
  </si>
  <si>
    <t>Inversion
Annual</t>
  </si>
  <si>
    <t>Renta
Annual</t>
  </si>
  <si>
    <t>en t=30 años</t>
  </si>
  <si>
    <t>Cumulative
Cash Outflow</t>
  </si>
  <si>
    <t>Home Equity</t>
  </si>
  <si>
    <t>Flujos Mensuales</t>
  </si>
  <si>
    <t>Impuestos y Seguro</t>
  </si>
  <si>
    <t>Mantto. Y Utilities</t>
  </si>
  <si>
    <r>
      <t xml:space="preserve">Pago a </t>
    </r>
    <r>
      <rPr>
        <b/>
        <sz val="11"/>
        <color rgb="FF00B050"/>
        <rFont val="Calibri"/>
        <family val="2"/>
        <scheme val="minor"/>
      </rPr>
      <t>Capital</t>
    </r>
    <r>
      <rPr>
        <b/>
        <sz val="11"/>
        <rFont val="Calibri"/>
        <family val="2"/>
        <scheme val="minor"/>
      </rPr>
      <t xml:space="preserve">
Amortizacion
(va aumentando)</t>
    </r>
  </si>
  <si>
    <t>2) APV
Adjusted Present Value</t>
  </si>
  <si>
    <t>IRR &lt; k se rechaza el Proyecto</t>
  </si>
  <si>
    <t>IRR = k indiferente</t>
  </si>
  <si>
    <t>IRR &gt; k se acepta el Proyecto</t>
  </si>
  <si>
    <t>Total a Financiar (prestamo)</t>
  </si>
  <si>
    <t>Utilities y otros gastos mensuales diferentes a Rentar</t>
  </si>
  <si>
    <t>Ecuacion de Valor: Deudas = Pagos</t>
  </si>
  <si>
    <t>DCF = NPV</t>
  </si>
  <si>
    <r>
      <t xml:space="preserve">Valor Presente
</t>
    </r>
    <r>
      <rPr>
        <b/>
        <sz val="11"/>
        <color rgb="FFFF0000"/>
        <rFont val="Calibri"/>
        <family val="2"/>
        <scheme val="minor"/>
      </rPr>
      <t>Pagos</t>
    </r>
    <r>
      <rPr>
        <b/>
        <sz val="11"/>
        <color theme="0"/>
        <rFont val="Calibri"/>
        <family val="2"/>
        <scheme val="minor"/>
      </rPr>
      <t xml:space="preserve">
de 30 años</t>
    </r>
  </si>
  <si>
    <r>
      <t xml:space="preserve">Valor Presente
</t>
    </r>
    <r>
      <rPr>
        <b/>
        <sz val="11"/>
        <color rgb="FFFF0000"/>
        <rFont val="Calibri"/>
        <family val="2"/>
        <scheme val="minor"/>
      </rPr>
      <t>Pagos</t>
    </r>
    <r>
      <rPr>
        <b/>
        <sz val="11"/>
        <color theme="0"/>
        <rFont val="Calibri"/>
        <family val="2"/>
        <scheme val="minor"/>
      </rPr>
      <t xml:space="preserve"> anuales
(usando r)</t>
    </r>
  </si>
  <si>
    <r>
      <t>IRR:</t>
    </r>
    <r>
      <rPr>
        <b/>
        <sz val="9"/>
        <color theme="0"/>
        <rFont val="Calibri"/>
        <family val="2"/>
        <scheme val="minor"/>
      </rPr>
      <t xml:space="preserve">
</t>
    </r>
    <r>
      <rPr>
        <sz val="9"/>
        <color theme="0"/>
        <rFont val="Calibri"/>
        <family val="2"/>
        <scheme val="minor"/>
      </rPr>
      <t>Internal Rate of Return</t>
    </r>
  </si>
  <si>
    <t>Valor Presente Neto (VPN)
del proyecto</t>
  </si>
  <si>
    <t>NPV</t>
  </si>
  <si>
    <t>Comprobacion de IRR, NPV=0</t>
  </si>
  <si>
    <t>Cd: Cost of Debt</t>
  </si>
  <si>
    <t>T: Tax Rate</t>
  </si>
  <si>
    <t>APV</t>
  </si>
  <si>
    <t>Pending</t>
  </si>
  <si>
    <r>
      <t>"</t>
    </r>
    <r>
      <rPr>
        <b/>
        <sz val="9"/>
        <color theme="1"/>
        <rFont val="Calibri"/>
        <family val="2"/>
        <scheme val="minor"/>
      </rPr>
      <t>IRR</t>
    </r>
    <r>
      <rPr>
        <sz val="9"/>
        <color theme="1"/>
        <rFont val="Calibri"/>
        <family val="2"/>
        <scheme val="minor"/>
      </rPr>
      <t xml:space="preserve"> Es la </t>
    </r>
    <r>
      <rPr>
        <b/>
        <sz val="9"/>
        <color theme="1"/>
        <rFont val="Calibri"/>
        <family val="2"/>
        <scheme val="minor"/>
      </rPr>
      <t>MAXIMA</t>
    </r>
    <r>
      <rPr>
        <sz val="9"/>
        <color theme="1"/>
        <rFont val="Calibri"/>
        <family val="2"/>
        <scheme val="minor"/>
      </rPr>
      <t xml:space="preserve"> tasa de Interes </t>
    </r>
  </si>
  <si>
    <r>
      <rPr>
        <b/>
        <sz val="11"/>
        <color theme="1"/>
        <rFont val="Calibri"/>
        <family val="2"/>
        <scheme val="minor"/>
      </rPr>
      <t xml:space="preserve">k </t>
    </r>
    <r>
      <rPr>
        <sz val="11"/>
        <color theme="1"/>
        <rFont val="Calibri"/>
        <family val="2"/>
        <scheme val="minor"/>
      </rPr>
      <t>= costo de capital o deduda:</t>
    </r>
  </si>
  <si>
    <t>1) WACC
WACC = [E/V x Ce] + [D/V x Cd x (1-T)]</t>
  </si>
  <si>
    <t>Ce: Cost of Equity*</t>
  </si>
  <si>
    <t>Podriamos descontar todos</t>
  </si>
  <si>
    <t>usando una sola tasa de</t>
  </si>
  <si>
    <t>los Cashflow a Valor Presente</t>
  </si>
  <si>
    <t>Discount Factor</t>
  </si>
  <si>
    <t>El WACC ya considera las</t>
  </si>
  <si>
    <t>deducciones de impuestos.</t>
  </si>
  <si>
    <t>descuento que en este caso</t>
  </si>
  <si>
    <t xml:space="preserve">seria el WACC, que es el </t>
  </si>
  <si>
    <t>costo de capital o financiamiento.</t>
  </si>
  <si>
    <t>Weighted average cost of capital (WACC)</t>
  </si>
  <si>
    <t xml:space="preserve"> is a company's average after-tax </t>
  </si>
  <si>
    <t>cost of capital from all sources, including</t>
  </si>
  <si>
    <t xml:space="preserve"> common stock, preferred stock, bonds, </t>
  </si>
  <si>
    <t xml:space="preserve">and other forms of debt. It represents </t>
  </si>
  <si>
    <t xml:space="preserve">the average rate that a company expects </t>
  </si>
  <si>
    <t>to pay to finance its business.</t>
  </si>
  <si>
    <r>
      <t xml:space="preserve">Valor Presente
</t>
    </r>
    <r>
      <rPr>
        <b/>
        <sz val="11"/>
        <color rgb="FF00B050"/>
        <rFont val="Calibri"/>
        <family val="2"/>
        <scheme val="minor"/>
      </rPr>
      <t>Equity</t>
    </r>
  </si>
  <si>
    <t>D/E Ratio</t>
  </si>
  <si>
    <t>WACC resulta mayor que la plusvalia del 4.57% por lo que</t>
  </si>
  <si>
    <t>convendria invertir el Capital en otra opcion mejor.</t>
  </si>
  <si>
    <t>Alto D/E ratio.</t>
  </si>
  <si>
    <t xml:space="preserve"> a la que podemos aceptar creditos o</t>
  </si>
  <si>
    <t xml:space="preserve"> emitir deuda para el proyecto</t>
  </si>
  <si>
    <t xml:space="preserve">efectivo y que el NPV sea cero, o sea </t>
  </si>
  <si>
    <t>para evitar  perdidas..</t>
  </si>
  <si>
    <t xml:space="preserve"> (costo de capital) dados los flujos de </t>
  </si>
  <si>
    <t>Pago Annual Mortgage
(Intereses, Capital, impuestos, seguro del credito)</t>
  </si>
  <si>
    <t>Resumen del Prestamo "Mortgage"</t>
  </si>
  <si>
    <r>
      <rPr>
        <b/>
        <sz val="9"/>
        <color theme="1"/>
        <rFont val="Calibri"/>
        <family val="2"/>
        <scheme val="minor"/>
      </rPr>
      <t>&lt;-</t>
    </r>
    <r>
      <rPr>
        <sz val="9"/>
        <color theme="1"/>
        <rFont val="Calibri"/>
        <family val="2"/>
        <scheme val="minor"/>
      </rPr>
      <t xml:space="preserve"> Suponiendo la </t>
    </r>
    <r>
      <rPr>
        <b/>
        <sz val="9"/>
        <color rgb="FF00B050"/>
        <rFont val="Calibri"/>
        <family val="2"/>
        <scheme val="minor"/>
      </rPr>
      <t>venta</t>
    </r>
    <r>
      <rPr>
        <sz val="9"/>
        <color theme="1"/>
        <rFont val="Calibri"/>
        <family val="2"/>
        <scheme val="minor"/>
      </rPr>
      <t xml:space="preserve">  en el anio 30</t>
    </r>
  </si>
  <si>
    <t>lo que daria un flujo de efectivo positivo</t>
  </si>
  <si>
    <t>en ese anio.</t>
  </si>
  <si>
    <t>Break point (Equity &gt;= Cash Outflow)</t>
  </si>
  <si>
    <t>Instrucciones:</t>
  </si>
  <si>
    <t>1) Ingresar datos en celdas color verde</t>
  </si>
  <si>
    <t>2) Usar controles</t>
  </si>
  <si>
    <t>3) ver resultados en color amarillo y graficos</t>
  </si>
  <si>
    <t>Propio de Comprar</t>
  </si>
  <si>
    <r>
      <t>Informacion del Prestamo (</t>
    </r>
    <r>
      <rPr>
        <b/>
        <sz val="14"/>
        <color theme="9" tint="0.79998168889431442"/>
        <rFont val="Calibri"/>
        <family val="2"/>
        <scheme val="minor"/>
      </rPr>
      <t>Datos de Entrada</t>
    </r>
    <r>
      <rPr>
        <b/>
        <sz val="14"/>
        <color theme="0"/>
        <rFont val="Calibri"/>
        <family val="2"/>
        <scheme val="minor"/>
      </rPr>
      <t>)</t>
    </r>
  </si>
  <si>
    <t>Inversion
Anual</t>
  </si>
  <si>
    <t>Periodo
t</t>
  </si>
  <si>
    <t>Invertir
100%</t>
  </si>
  <si>
    <t>Rentar e
Invertir</t>
  </si>
  <si>
    <t>Rentar una Casa e Invertir la diferencia del "Cash Outflow" en</t>
  </si>
  <si>
    <t>un Fondo Indexado i.e. VOO.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</si>
</sst>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0.00000"/>
    <numFmt numFmtId="165" formatCode="&quot;$&quot;#,##0.00"/>
    <numFmt numFmtId="166" formatCode="_(&quot;$&quot;* #,##0_);_(&quot;$&quot;* \(#,##0\);_(&quot;$&quot;* &quot;-&quot;??_);_(@_)"/>
    <numFmt numFmtId="167" formatCode="0.000%"/>
    <numFmt numFmtId="168" formatCode="_(&quot;$&quot;* #,##0.000000_);_(&quot;$&quot;* \(#,##0.000000\);_(&quot;$&quot;* &quot;-&quot;??_);_(@_)"/>
    <numFmt numFmtId="169" formatCode="_(&quot;$&quot;* #,##0.000000000000_);_(&quot;$&quot;* \(#,##0.000000000000\);_(&quot;$&quot;* &quot;-&quot;??_);_(@_)"/>
    <numFmt numFmtId="170" formatCode="0.0%"/>
    <numFmt numFmtId="171" formatCode="&quot;$&quot;#,##0.0_);[Red]\(&quot;$&quot;#,##0.0\)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8"/>
      <color rgb="FF1B1B1B"/>
      <name val="Arial"/>
      <family val="2"/>
    </font>
    <font>
      <sz val="11"/>
      <color rgb="FF1B1B1B"/>
      <name val="Arial"/>
      <family val="2"/>
    </font>
    <font>
      <b/>
      <i/>
      <sz val="9"/>
      <name val="Calibri"/>
      <family val="2"/>
      <scheme val="minor"/>
    </font>
    <font>
      <sz val="22"/>
      <color theme="0"/>
      <name val="Calibri"/>
      <family val="2"/>
      <scheme val="minor"/>
    </font>
    <font>
      <b/>
      <u/>
      <sz val="9"/>
      <color theme="1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0070C0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sz val="14"/>
      <color theme="9" tint="0.7999816888943144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FE1E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1B1B1B"/>
      </left>
      <right style="medium">
        <color rgb="FF1B1B1B"/>
      </right>
      <top style="medium">
        <color rgb="FF1B1B1B"/>
      </top>
      <bottom style="medium">
        <color rgb="FF1B1B1B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7" tint="0.39997558519241921"/>
      </left>
      <right/>
      <top style="medium">
        <color theme="7" tint="0.39997558519241921"/>
      </top>
      <bottom/>
      <diagonal/>
    </border>
    <border>
      <left/>
      <right/>
      <top style="medium">
        <color theme="7" tint="0.39997558519241921"/>
      </top>
      <bottom/>
      <diagonal/>
    </border>
    <border>
      <left/>
      <right style="medium">
        <color theme="7" tint="0.39997558519241921"/>
      </right>
      <top style="medium">
        <color theme="7" tint="0.39997558519241921"/>
      </top>
      <bottom/>
      <diagonal/>
    </border>
    <border>
      <left style="medium">
        <color theme="7" tint="0.39997558519241921"/>
      </left>
      <right/>
      <top/>
      <bottom/>
      <diagonal/>
    </border>
    <border>
      <left/>
      <right style="medium">
        <color theme="7" tint="0.39997558519241921"/>
      </right>
      <top/>
      <bottom/>
      <diagonal/>
    </border>
    <border>
      <left style="medium">
        <color theme="7" tint="0.39997558519241921"/>
      </left>
      <right/>
      <top/>
      <bottom style="medium">
        <color theme="7" tint="0.39997558519241921"/>
      </bottom>
      <diagonal/>
    </border>
    <border>
      <left/>
      <right/>
      <top/>
      <bottom style="medium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/>
      <bottom style="medium">
        <color theme="7" tint="0.3999755851924192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 style="thin">
        <color indexed="64"/>
      </left>
      <right style="thin">
        <color indexed="64"/>
      </right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theme="7" tint="0.39997558519241921"/>
      </left>
      <right style="thin">
        <color indexed="64"/>
      </right>
      <top style="medium">
        <color theme="7" tint="0.39997558519241921"/>
      </top>
      <bottom style="medium">
        <color theme="7" tint="0.39997558519241921"/>
      </bottom>
      <diagonal/>
    </border>
    <border>
      <left style="thin">
        <color indexed="64"/>
      </left>
      <right style="thin">
        <color indexed="64"/>
      </right>
      <top style="medium">
        <color theme="7" tint="0.39997558519241921"/>
      </top>
      <bottom style="medium">
        <color theme="7" tint="0.39997558519241921"/>
      </bottom>
      <diagonal/>
    </border>
    <border>
      <left/>
      <right style="medium">
        <color theme="7" tint="0.39997558519241921"/>
      </right>
      <top style="medium">
        <color theme="7" tint="0.39997558519241921"/>
      </top>
      <bottom style="medium">
        <color theme="7" tint="0.39997558519241921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278">
    <xf numFmtId="0" fontId="0" fillId="0" borderId="0" xfId="0"/>
    <xf numFmtId="0" fontId="0" fillId="2" borderId="0" xfId="0" applyFill="1"/>
    <xf numFmtId="0" fontId="0" fillId="2" borderId="1" xfId="0" applyFill="1" applyBorder="1"/>
    <xf numFmtId="10" fontId="0" fillId="2" borderId="1" xfId="0" applyNumberFormat="1" applyFill="1" applyBorder="1"/>
    <xf numFmtId="10" fontId="0" fillId="2" borderId="1" xfId="2" applyNumberFormat="1" applyFont="1" applyFill="1" applyBorder="1"/>
    <xf numFmtId="44" fontId="0" fillId="2" borderId="1" xfId="1" applyFont="1" applyFill="1" applyBorder="1"/>
    <xf numFmtId="164" fontId="0" fillId="2" borderId="1" xfId="0" applyNumberFormat="1" applyFill="1" applyBorder="1"/>
    <xf numFmtId="2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0" fillId="2" borderId="1" xfId="0" applyFill="1" applyBorder="1" applyAlignment="1">
      <alignment wrapText="1"/>
    </xf>
    <xf numFmtId="165" fontId="0" fillId="2" borderId="1" xfId="0" applyNumberFormat="1" applyFill="1" applyBorder="1" applyAlignment="1">
      <alignment horizontal="center"/>
    </xf>
    <xf numFmtId="10" fontId="0" fillId="2" borderId="0" xfId="0" applyNumberFormat="1" applyFill="1" applyBorder="1"/>
    <xf numFmtId="0" fontId="0" fillId="2" borderId="0" xfId="0" applyFill="1" applyBorder="1" applyAlignment="1">
      <alignment horizontal="center"/>
    </xf>
    <xf numFmtId="44" fontId="0" fillId="2" borderId="0" xfId="0" applyNumberFormat="1" applyFill="1"/>
    <xf numFmtId="4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4" fontId="0" fillId="2" borderId="0" xfId="1" applyFont="1" applyFill="1"/>
    <xf numFmtId="168" fontId="0" fillId="2" borderId="0" xfId="0" applyNumberFormat="1" applyFill="1"/>
    <xf numFmtId="165" fontId="2" fillId="2" borderId="1" xfId="0" applyNumberFormat="1" applyFont="1" applyFill="1" applyBorder="1" applyAlignment="1">
      <alignment horizontal="center"/>
    </xf>
    <xf numFmtId="165" fontId="2" fillId="2" borderId="0" xfId="0" applyNumberFormat="1" applyFont="1" applyFill="1" applyAlignment="1">
      <alignment horizontal="center"/>
    </xf>
    <xf numFmtId="8" fontId="0" fillId="2" borderId="0" xfId="0" applyNumberFormat="1" applyFill="1"/>
    <xf numFmtId="165" fontId="2" fillId="2" borderId="1" xfId="0" applyNumberFormat="1" applyFont="1" applyFill="1" applyBorder="1" applyAlignment="1">
      <alignment horizontal="center" vertical="center"/>
    </xf>
    <xf numFmtId="169" fontId="0" fillId="2" borderId="0" xfId="0" applyNumberFormat="1" applyFill="1"/>
    <xf numFmtId="0" fontId="10" fillId="3" borderId="0" xfId="0" applyFont="1" applyFill="1"/>
    <xf numFmtId="6" fontId="0" fillId="2" borderId="1" xfId="1" applyNumberFormat="1" applyFont="1" applyFill="1" applyBorder="1"/>
    <xf numFmtId="0" fontId="0" fillId="2" borderId="0" xfId="0" applyFill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8" fontId="0" fillId="2" borderId="1" xfId="1" applyNumberFormat="1" applyFont="1" applyFill="1" applyBorder="1" applyAlignment="1">
      <alignment horizontal="center" vertical="center"/>
    </xf>
    <xf numFmtId="0" fontId="0" fillId="2" borderId="0" xfId="0" applyFill="1" applyBorder="1"/>
    <xf numFmtId="44" fontId="0" fillId="2" borderId="1" xfId="0" applyNumberFormat="1" applyFill="1" applyBorder="1"/>
    <xf numFmtId="0" fontId="8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166" fontId="0" fillId="2" borderId="1" xfId="1" applyNumberFormat="1" applyFont="1" applyFill="1" applyBorder="1" applyAlignment="1">
      <alignment horizontal="center" vertical="center"/>
    </xf>
    <xf numFmtId="167" fontId="0" fillId="2" borderId="1" xfId="2" applyNumberFormat="1" applyFont="1" applyFill="1" applyBorder="1" applyAlignment="1">
      <alignment horizontal="center" vertical="center"/>
    </xf>
    <xf numFmtId="166" fontId="0" fillId="2" borderId="1" xfId="1" applyNumberFormat="1" applyFont="1" applyFill="1" applyBorder="1" applyAlignment="1"/>
    <xf numFmtId="167" fontId="0" fillId="2" borderId="1" xfId="2" applyNumberFormat="1" applyFont="1" applyFill="1" applyBorder="1"/>
    <xf numFmtId="0" fontId="10" fillId="2" borderId="0" xfId="0" applyFont="1" applyFill="1"/>
    <xf numFmtId="0" fontId="10" fillId="3" borderId="0" xfId="0" applyFont="1" applyFill="1" applyAlignment="1">
      <alignment horizontal="left"/>
    </xf>
    <xf numFmtId="0" fontId="11" fillId="3" borderId="1" xfId="0" applyFont="1" applyFill="1" applyBorder="1" applyAlignment="1">
      <alignment horizontal="center" vertical="center"/>
    </xf>
    <xf numFmtId="0" fontId="12" fillId="3" borderId="0" xfId="0" applyFont="1" applyFill="1" applyAlignment="1"/>
    <xf numFmtId="0" fontId="6" fillId="2" borderId="0" xfId="0" applyFont="1" applyFill="1"/>
    <xf numFmtId="0" fontId="8" fillId="2" borderId="0" xfId="0" applyFont="1" applyFill="1"/>
    <xf numFmtId="0" fontId="9" fillId="3" borderId="14" xfId="0" applyFont="1" applyFill="1" applyBorder="1" applyAlignment="1"/>
    <xf numFmtId="0" fontId="0" fillId="2" borderId="15" xfId="0" applyFill="1" applyBorder="1" applyAlignment="1">
      <alignment horizontal="center"/>
    </xf>
    <xf numFmtId="44" fontId="0" fillId="2" borderId="16" xfId="1" applyFont="1" applyFill="1" applyBorder="1"/>
    <xf numFmtId="0" fontId="0" fillId="2" borderId="17" xfId="0" applyFill="1" applyBorder="1" applyAlignment="1">
      <alignment horizontal="center"/>
    </xf>
    <xf numFmtId="44" fontId="0" fillId="2" borderId="18" xfId="1" applyFont="1" applyFill="1" applyBorder="1"/>
    <xf numFmtId="0" fontId="14" fillId="2" borderId="0" xfId="3" applyFill="1"/>
    <xf numFmtId="167" fontId="0" fillId="2" borderId="1" xfId="0" applyNumberFormat="1" applyFill="1" applyBorder="1" applyAlignment="1">
      <alignment horizontal="center" vertical="center"/>
    </xf>
    <xf numFmtId="167" fontId="0" fillId="5" borderId="1" xfId="2" applyNumberFormat="1" applyFont="1" applyFill="1" applyBorder="1" applyAlignment="1">
      <alignment horizontal="center" vertical="center"/>
    </xf>
    <xf numFmtId="44" fontId="1" fillId="5" borderId="1" xfId="1" applyFont="1" applyFill="1" applyBorder="1"/>
    <xf numFmtId="44" fontId="0" fillId="5" borderId="1" xfId="1" applyFont="1" applyFill="1" applyBorder="1"/>
    <xf numFmtId="44" fontId="2" fillId="5" borderId="1" xfId="1" applyFont="1" applyFill="1" applyBorder="1"/>
    <xf numFmtId="0" fontId="9" fillId="3" borderId="14" xfId="0" applyFont="1" applyFill="1" applyBorder="1" applyAlignment="1">
      <alignment horizontal="center"/>
    </xf>
    <xf numFmtId="44" fontId="0" fillId="2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4" fontId="0" fillId="2" borderId="0" xfId="1" applyFont="1" applyFill="1" applyBorder="1"/>
    <xf numFmtId="0" fontId="0" fillId="2" borderId="1" xfId="0" applyFill="1" applyBorder="1" applyAlignment="1">
      <alignment vertical="top"/>
    </xf>
    <xf numFmtId="8" fontId="0" fillId="6" borderId="1" xfId="0" applyNumberForma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0" fontId="0" fillId="6" borderId="1" xfId="2" applyNumberFormat="1" applyFont="1" applyFill="1" applyBorder="1" applyAlignment="1">
      <alignment horizontal="center"/>
    </xf>
    <xf numFmtId="6" fontId="0" fillId="6" borderId="1" xfId="1" applyNumberFormat="1" applyFon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44" fontId="2" fillId="5" borderId="1" xfId="1" applyFont="1" applyFill="1" applyBorder="1" applyAlignment="1">
      <alignment horizontal="center"/>
    </xf>
    <xf numFmtId="165" fontId="1" fillId="6" borderId="1" xfId="1" applyNumberFormat="1" applyFont="1" applyFill="1" applyBorder="1" applyAlignment="1">
      <alignment horizontal="center" vertical="center"/>
    </xf>
    <xf numFmtId="165" fontId="2" fillId="5" borderId="1" xfId="1" applyNumberFormat="1" applyFont="1" applyFill="1" applyBorder="1" applyAlignment="1">
      <alignment horizontal="center" vertical="center"/>
    </xf>
    <xf numFmtId="44" fontId="17" fillId="2" borderId="0" xfId="1" applyFont="1" applyFill="1"/>
    <xf numFmtId="0" fontId="0" fillId="3" borderId="0" xfId="0" applyFill="1"/>
    <xf numFmtId="0" fontId="9" fillId="3" borderId="0" xfId="0" applyFont="1" applyFill="1"/>
    <xf numFmtId="0" fontId="21" fillId="3" borderId="0" xfId="0" applyFont="1" applyFill="1"/>
    <xf numFmtId="0" fontId="22" fillId="3" borderId="0" xfId="0" applyFont="1" applyFill="1"/>
    <xf numFmtId="44" fontId="0" fillId="2" borderId="1" xfId="1" applyFont="1" applyFill="1" applyBorder="1" applyAlignment="1">
      <alignment horizontal="center"/>
    </xf>
    <xf numFmtId="8" fontId="0" fillId="2" borderId="1" xfId="0" applyNumberFormat="1" applyFill="1" applyBorder="1"/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10" fontId="0" fillId="2" borderId="1" xfId="2" applyNumberFormat="1" applyFont="1" applyFill="1" applyBorder="1" applyAlignment="1">
      <alignment horizontal="center"/>
    </xf>
    <xf numFmtId="44" fontId="2" fillId="2" borderId="0" xfId="1" applyFont="1" applyFill="1" applyBorder="1"/>
    <xf numFmtId="0" fontId="15" fillId="2" borderId="0" xfId="0" applyFont="1" applyFill="1"/>
    <xf numFmtId="0" fontId="23" fillId="8" borderId="19" xfId="0" applyFont="1" applyFill="1" applyBorder="1" applyAlignment="1">
      <alignment horizontal="center" vertical="center" wrapText="1"/>
    </xf>
    <xf numFmtId="14" fontId="24" fillId="7" borderId="19" xfId="0" applyNumberFormat="1" applyFont="1" applyFill="1" applyBorder="1" applyAlignment="1">
      <alignment vertical="center" wrapText="1"/>
    </xf>
    <xf numFmtId="0" fontId="24" fillId="7" borderId="19" xfId="0" applyFont="1" applyFill="1" applyBorder="1" applyAlignment="1">
      <alignment vertical="center" wrapText="1"/>
    </xf>
    <xf numFmtId="0" fontId="22" fillId="3" borderId="0" xfId="0" applyFont="1" applyFill="1" applyAlignment="1"/>
    <xf numFmtId="0" fontId="15" fillId="3" borderId="0" xfId="0" applyFont="1" applyFill="1" applyAlignment="1"/>
    <xf numFmtId="0" fontId="22" fillId="3" borderId="0" xfId="0" applyFont="1" applyFill="1" applyAlignment="1">
      <alignment horizontal="left"/>
    </xf>
    <xf numFmtId="0" fontId="25" fillId="2" borderId="0" xfId="0" applyFont="1" applyFill="1" applyAlignment="1">
      <alignment horizontal="center" vertical="center"/>
    </xf>
    <xf numFmtId="44" fontId="0" fillId="2" borderId="20" xfId="0" applyNumberFormat="1" applyFill="1" applyBorder="1"/>
    <xf numFmtId="0" fontId="24" fillId="5" borderId="19" xfId="0" applyFont="1" applyFill="1" applyBorder="1" applyAlignment="1">
      <alignment vertical="center" wrapText="1"/>
    </xf>
    <xf numFmtId="6" fontId="0" fillId="4" borderId="1" xfId="0" applyNumberFormat="1" applyFill="1" applyBorder="1"/>
    <xf numFmtId="171" fontId="0" fillId="4" borderId="1" xfId="0" applyNumberFormat="1" applyFill="1" applyBorder="1"/>
    <xf numFmtId="0" fontId="0" fillId="4" borderId="1" xfId="0" applyFill="1" applyBorder="1"/>
    <xf numFmtId="8" fontId="0" fillId="4" borderId="1" xfId="0" applyNumberFormat="1" applyFill="1" applyBorder="1"/>
    <xf numFmtId="0" fontId="9" fillId="3" borderId="1" xfId="0" applyFont="1" applyFill="1" applyBorder="1"/>
    <xf numFmtId="0" fontId="26" fillId="3" borderId="0" xfId="0" applyFont="1" applyFill="1"/>
    <xf numFmtId="0" fontId="18" fillId="2" borderId="0" xfId="0" applyFont="1" applyFill="1"/>
    <xf numFmtId="0" fontId="27" fillId="2" borderId="0" xfId="3" applyFont="1" applyFill="1"/>
    <xf numFmtId="0" fontId="9" fillId="3" borderId="1" xfId="0" applyFon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167" fontId="0" fillId="6" borderId="1" xfId="2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/>
    </xf>
    <xf numFmtId="0" fontId="31" fillId="2" borderId="0" xfId="0" applyFont="1" applyFill="1"/>
    <xf numFmtId="44" fontId="0" fillId="2" borderId="1" xfId="1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67" fontId="0" fillId="5" borderId="1" xfId="0" applyNumberFormat="1" applyFill="1" applyBorder="1"/>
    <xf numFmtId="0" fontId="20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44" fontId="0" fillId="3" borderId="0" xfId="1" applyFont="1" applyFill="1"/>
    <xf numFmtId="0" fontId="17" fillId="2" borderId="0" xfId="0" applyFont="1" applyFill="1" applyBorder="1"/>
    <xf numFmtId="0" fontId="2" fillId="2" borderId="0" xfId="0" applyFont="1" applyFill="1" applyAlignment="1">
      <alignment horizontal="center" vertical="center" wrapText="1"/>
    </xf>
    <xf numFmtId="44" fontId="0" fillId="2" borderId="1" xfId="1" applyFont="1" applyFill="1" applyBorder="1" applyAlignment="1">
      <alignment horizontal="center" vertical="center"/>
    </xf>
    <xf numFmtId="44" fontId="0" fillId="2" borderId="1" xfId="1" applyFont="1" applyFill="1" applyBorder="1" applyAlignment="1">
      <alignment horizontal="center" vertical="center"/>
    </xf>
    <xf numFmtId="8" fontId="31" fillId="2" borderId="0" xfId="0" applyNumberFormat="1" applyFont="1" applyFill="1" applyBorder="1" applyAlignment="1">
      <alignment horizontal="left" vertical="center" indent="1"/>
    </xf>
    <xf numFmtId="0" fontId="31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28" fillId="3" borderId="1" xfId="3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8" fontId="17" fillId="2" borderId="9" xfId="0" applyNumberFormat="1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/>
    </xf>
    <xf numFmtId="44" fontId="0" fillId="11" borderId="1" xfId="1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 wrapText="1"/>
    </xf>
    <xf numFmtId="44" fontId="17" fillId="2" borderId="1" xfId="1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Continuous"/>
    </xf>
    <xf numFmtId="0" fontId="35" fillId="3" borderId="0" xfId="0" applyFont="1" applyFill="1" applyAlignment="1">
      <alignment horizontal="centerContinuous"/>
    </xf>
    <xf numFmtId="0" fontId="22" fillId="3" borderId="0" xfId="0" applyFont="1" applyFill="1" applyAlignment="1">
      <alignment horizontal="centerContinuous"/>
    </xf>
    <xf numFmtId="0" fontId="13" fillId="3" borderId="0" xfId="0" applyFont="1" applyFill="1" applyAlignment="1">
      <alignment horizontal="centerContinuous"/>
    </xf>
    <xf numFmtId="0" fontId="2" fillId="2" borderId="1" xfId="0" applyFont="1" applyFill="1" applyBorder="1" applyAlignment="1">
      <alignment horizontal="center"/>
    </xf>
    <xf numFmtId="10" fontId="31" fillId="2" borderId="0" xfId="2" applyNumberFormat="1" applyFont="1" applyFill="1" applyAlignment="1">
      <alignment horizontal="center" vertical="center"/>
    </xf>
    <xf numFmtId="0" fontId="0" fillId="2" borderId="0" xfId="0" applyFont="1" applyFill="1"/>
    <xf numFmtId="9" fontId="31" fillId="2" borderId="0" xfId="0" applyNumberFormat="1" applyFont="1" applyFill="1" applyAlignment="1">
      <alignment horizontal="center" vertical="center"/>
    </xf>
    <xf numFmtId="9" fontId="40" fillId="2" borderId="0" xfId="0" applyNumberFormat="1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9" fontId="32" fillId="10" borderId="1" xfId="0" applyNumberFormat="1" applyFont="1" applyFill="1" applyBorder="1" applyAlignment="1">
      <alignment horizontal="center"/>
    </xf>
    <xf numFmtId="9" fontId="32" fillId="10" borderId="1" xfId="0" applyNumberFormat="1" applyFont="1" applyFill="1" applyBorder="1" applyAlignment="1">
      <alignment horizontal="center" vertical="center"/>
    </xf>
    <xf numFmtId="9" fontId="2" fillId="10" borderId="1" xfId="0" applyNumberFormat="1" applyFont="1" applyFill="1" applyBorder="1" applyAlignment="1">
      <alignment horizontal="center"/>
    </xf>
    <xf numFmtId="10" fontId="2" fillId="10" borderId="1" xfId="0" applyNumberFormat="1" applyFont="1" applyFill="1" applyBorder="1" applyAlignment="1">
      <alignment horizontal="center"/>
    </xf>
    <xf numFmtId="10" fontId="0" fillId="2" borderId="0" xfId="2" applyNumberFormat="1" applyFont="1" applyFill="1"/>
    <xf numFmtId="0" fontId="17" fillId="2" borderId="0" xfId="0" quotePrefix="1" applyFont="1" applyFill="1"/>
    <xf numFmtId="10" fontId="0" fillId="2" borderId="0" xfId="2" applyNumberFormat="1" applyFont="1" applyFill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Continuous"/>
    </xf>
    <xf numFmtId="0" fontId="11" fillId="9" borderId="1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Continuous"/>
    </xf>
    <xf numFmtId="0" fontId="9" fillId="3" borderId="0" xfId="0" applyFont="1" applyFill="1" applyAlignment="1">
      <alignment horizontal="centerContinuous"/>
    </xf>
    <xf numFmtId="0" fontId="11" fillId="3" borderId="0" xfId="0" applyFont="1" applyFill="1" applyAlignment="1">
      <alignment horizontal="centerContinuous"/>
    </xf>
    <xf numFmtId="10" fontId="43" fillId="3" borderId="0" xfId="0" applyNumberFormat="1" applyFont="1" applyFill="1" applyAlignment="1">
      <alignment horizontal="centerContinuous" vertical="center"/>
    </xf>
    <xf numFmtId="0" fontId="44" fillId="2" borderId="0" xfId="0" applyFont="1" applyFill="1"/>
    <xf numFmtId="10" fontId="45" fillId="3" borderId="0" xfId="0" applyNumberFormat="1" applyFont="1" applyFill="1" applyAlignment="1">
      <alignment horizontal="centerContinuous" vertical="center"/>
    </xf>
    <xf numFmtId="0" fontId="46" fillId="3" borderId="0" xfId="0" applyFont="1" applyFill="1" applyAlignment="1">
      <alignment horizontal="centerContinuous"/>
    </xf>
    <xf numFmtId="170" fontId="0" fillId="2" borderId="0" xfId="2" applyNumberFormat="1" applyFont="1" applyFill="1" applyAlignment="1">
      <alignment horizontal="center"/>
    </xf>
    <xf numFmtId="10" fontId="0" fillId="2" borderId="0" xfId="0" applyNumberFormat="1" applyFill="1" applyAlignment="1">
      <alignment horizontal="center"/>
    </xf>
    <xf numFmtId="0" fontId="0" fillId="2" borderId="0" xfId="0" applyFont="1" applyFill="1" applyAlignment="1">
      <alignment horizontal="left"/>
    </xf>
    <xf numFmtId="0" fontId="17" fillId="2" borderId="0" xfId="0" applyFont="1" applyFill="1"/>
    <xf numFmtId="0" fontId="17" fillId="2" borderId="24" xfId="0" applyFont="1" applyFill="1" applyBorder="1"/>
    <xf numFmtId="0" fontId="17" fillId="2" borderId="2" xfId="0" applyFont="1" applyFill="1" applyBorder="1"/>
    <xf numFmtId="0" fontId="17" fillId="2" borderId="3" xfId="0" applyFont="1" applyFill="1" applyBorder="1"/>
    <xf numFmtId="165" fontId="0" fillId="2" borderId="1" xfId="1" applyNumberFormat="1" applyFont="1" applyFill="1" applyBorder="1" applyAlignment="1">
      <alignment horizontal="center"/>
    </xf>
    <xf numFmtId="10" fontId="47" fillId="2" borderId="1" xfId="2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10" fontId="2" fillId="2" borderId="23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4" fillId="12" borderId="1" xfId="3" applyFill="1" applyBorder="1" applyAlignment="1">
      <alignment horizontal="center" vertical="center"/>
    </xf>
    <xf numFmtId="0" fontId="48" fillId="2" borderId="0" xfId="0" applyFont="1" applyFill="1"/>
    <xf numFmtId="0" fontId="17" fillId="2" borderId="1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left"/>
    </xf>
    <xf numFmtId="0" fontId="35" fillId="3" borderId="0" xfId="0" applyFont="1" applyFill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/>
    </xf>
    <xf numFmtId="0" fontId="21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44" fontId="18" fillId="2" borderId="1" xfId="1" applyNumberFormat="1" applyFont="1" applyFill="1" applyBorder="1" applyAlignment="1">
      <alignment horizontal="center"/>
    </xf>
    <xf numFmtId="0" fontId="38" fillId="3" borderId="6" xfId="0" applyFont="1" applyFill="1" applyBorder="1" applyAlignment="1">
      <alignment horizontal="centerContinuous"/>
    </xf>
    <xf numFmtId="0" fontId="38" fillId="3" borderId="7" xfId="0" applyFont="1" applyFill="1" applyBorder="1" applyAlignment="1">
      <alignment horizontal="centerContinuous"/>
    </xf>
    <xf numFmtId="0" fontId="39" fillId="3" borderId="6" xfId="0" applyFont="1" applyFill="1" applyBorder="1" applyAlignment="1">
      <alignment horizontal="centerContinuous"/>
    </xf>
    <xf numFmtId="0" fontId="39" fillId="3" borderId="7" xfId="0" applyFont="1" applyFill="1" applyBorder="1" applyAlignment="1">
      <alignment horizontal="centerContinuous"/>
    </xf>
    <xf numFmtId="0" fontId="17" fillId="2" borderId="5" xfId="0" applyFont="1" applyFill="1" applyBorder="1"/>
    <xf numFmtId="0" fontId="17" fillId="2" borderId="7" xfId="0" applyFont="1" applyFill="1" applyBorder="1"/>
    <xf numFmtId="0" fontId="17" fillId="2" borderId="22" xfId="0" applyFont="1" applyFill="1" applyBorder="1"/>
    <xf numFmtId="0" fontId="17" fillId="2" borderId="8" xfId="0" applyFont="1" applyFill="1" applyBorder="1"/>
    <xf numFmtId="0" fontId="17" fillId="2" borderId="9" xfId="0" applyFont="1" applyFill="1" applyBorder="1"/>
    <xf numFmtId="44" fontId="18" fillId="5" borderId="0" xfId="1" applyFont="1" applyFill="1" applyBorder="1"/>
    <xf numFmtId="6" fontId="17" fillId="10" borderId="1" xfId="0" applyNumberFormat="1" applyFont="1" applyFill="1" applyBorder="1" applyAlignment="1">
      <alignment horizontal="center"/>
    </xf>
    <xf numFmtId="44" fontId="17" fillId="2" borderId="0" xfId="1" applyNumberFormat="1" applyFont="1" applyFill="1" applyBorder="1"/>
    <xf numFmtId="0" fontId="49" fillId="10" borderId="1" xfId="0" applyFont="1" applyFill="1" applyBorder="1" applyAlignment="1">
      <alignment horizontal="center"/>
    </xf>
    <xf numFmtId="44" fontId="17" fillId="2" borderId="0" xfId="1" applyFont="1" applyFill="1" applyBorder="1"/>
    <xf numFmtId="170" fontId="17" fillId="10" borderId="1" xfId="0" applyNumberFormat="1" applyFont="1" applyFill="1" applyBorder="1" applyAlignment="1">
      <alignment horizontal="center"/>
    </xf>
    <xf numFmtId="44" fontId="17" fillId="2" borderId="0" xfId="0" applyNumberFormat="1" applyFont="1" applyFill="1"/>
    <xf numFmtId="44" fontId="17" fillId="10" borderId="1" xfId="1" applyFont="1" applyFill="1" applyBorder="1" applyAlignment="1">
      <alignment horizontal="center"/>
    </xf>
    <xf numFmtId="0" fontId="17" fillId="2" borderId="21" xfId="0" applyFont="1" applyFill="1" applyBorder="1"/>
    <xf numFmtId="44" fontId="17" fillId="2" borderId="21" xfId="1" applyNumberFormat="1" applyFont="1" applyFill="1" applyBorder="1"/>
    <xf numFmtId="9" fontId="49" fillId="2" borderId="0" xfId="2" applyFont="1" applyFill="1" applyBorder="1" applyAlignment="1">
      <alignment horizontal="center"/>
    </xf>
    <xf numFmtId="44" fontId="17" fillId="2" borderId="1" xfId="1" applyFont="1" applyFill="1" applyBorder="1" applyAlignment="1">
      <alignment horizontal="center"/>
    </xf>
    <xf numFmtId="44" fontId="18" fillId="5" borderId="0" xfId="1" applyNumberFormat="1" applyFont="1" applyFill="1" applyBorder="1"/>
    <xf numFmtId="9" fontId="49" fillId="10" borderId="1" xfId="2" applyFont="1" applyFill="1" applyBorder="1" applyAlignment="1">
      <alignment horizontal="center"/>
    </xf>
    <xf numFmtId="0" fontId="18" fillId="2" borderId="0" xfId="0" applyFont="1" applyFill="1" applyBorder="1"/>
    <xf numFmtId="44" fontId="50" fillId="2" borderId="1" xfId="1" applyFont="1" applyFill="1" applyBorder="1" applyAlignment="1">
      <alignment horizontal="center"/>
    </xf>
    <xf numFmtId="0" fontId="17" fillId="2" borderId="0" xfId="0" applyFont="1" applyFill="1" applyBorder="1" applyAlignment="1">
      <alignment horizontal="center"/>
    </xf>
    <xf numFmtId="0" fontId="50" fillId="5" borderId="0" xfId="0" applyFont="1" applyFill="1" applyBorder="1"/>
    <xf numFmtId="0" fontId="49" fillId="5" borderId="0" xfId="0" applyFont="1" applyFill="1" applyBorder="1"/>
    <xf numFmtId="44" fontId="50" fillId="5" borderId="0" xfId="1" applyFont="1" applyFill="1" applyBorder="1"/>
    <xf numFmtId="16" fontId="17" fillId="2" borderId="0" xfId="0" applyNumberFormat="1" applyFont="1" applyFill="1" applyBorder="1"/>
    <xf numFmtId="0" fontId="17" fillId="10" borderId="1" xfId="0" applyFont="1" applyFill="1" applyBorder="1" applyAlignment="1">
      <alignment horizontal="center" vertical="center"/>
    </xf>
    <xf numFmtId="44" fontId="49" fillId="2" borderId="1" xfId="1" applyFont="1" applyFill="1" applyBorder="1" applyAlignment="1">
      <alignment horizontal="center"/>
    </xf>
    <xf numFmtId="0" fontId="17" fillId="2" borderId="10" xfId="0" applyFont="1" applyFill="1" applyBorder="1"/>
    <xf numFmtId="0" fontId="17" fillId="2" borderId="11" xfId="0" applyFont="1" applyFill="1" applyBorder="1"/>
    <xf numFmtId="0" fontId="17" fillId="2" borderId="12" xfId="0" applyFont="1" applyFill="1" applyBorder="1"/>
    <xf numFmtId="0" fontId="38" fillId="2" borderId="5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38" fillId="2" borderId="7" xfId="0" applyFont="1" applyFill="1" applyBorder="1" applyAlignment="1">
      <alignment horizontal="center"/>
    </xf>
    <xf numFmtId="44" fontId="17" fillId="2" borderId="11" xfId="1" applyFont="1" applyFill="1" applyBorder="1"/>
    <xf numFmtId="0" fontId="17" fillId="2" borderId="13" xfId="0" applyFont="1" applyFill="1" applyBorder="1"/>
    <xf numFmtId="0" fontId="18" fillId="2" borderId="0" xfId="0" applyFont="1" applyFill="1" applyBorder="1" applyAlignment="1">
      <alignment horizontal="left"/>
    </xf>
    <xf numFmtId="44" fontId="18" fillId="2" borderId="0" xfId="1" applyFont="1" applyFill="1" applyBorder="1"/>
    <xf numFmtId="44" fontId="17" fillId="2" borderId="21" xfId="1" applyFont="1" applyFill="1" applyBorder="1"/>
    <xf numFmtId="0" fontId="50" fillId="2" borderId="0" xfId="0" applyFont="1" applyFill="1" applyBorder="1"/>
    <xf numFmtId="44" fontId="50" fillId="5" borderId="3" xfId="1" applyFont="1" applyFill="1" applyBorder="1"/>
    <xf numFmtId="0" fontId="18" fillId="5" borderId="1" xfId="0" applyFont="1" applyFill="1" applyBorder="1" applyAlignment="1">
      <alignment horizontal="center"/>
    </xf>
    <xf numFmtId="0" fontId="31" fillId="2" borderId="0" xfId="0" applyFont="1" applyFill="1" applyBorder="1"/>
    <xf numFmtId="8" fontId="31" fillId="2" borderId="20" xfId="0" applyNumberFormat="1" applyFont="1" applyFill="1" applyBorder="1" applyAlignment="1">
      <alignment horizontal="center" vertical="center"/>
    </xf>
    <xf numFmtId="0" fontId="38" fillId="2" borderId="0" xfId="0" applyFont="1" applyFill="1" applyBorder="1" applyAlignment="1">
      <alignment horizontal="centerContinuous"/>
    </xf>
    <xf numFmtId="0" fontId="38" fillId="2" borderId="8" xfId="0" applyFont="1" applyFill="1" applyBorder="1" applyAlignment="1">
      <alignment horizontal="centerContinuous"/>
    </xf>
    <xf numFmtId="0" fontId="38" fillId="2" borderId="9" xfId="0" applyFont="1" applyFill="1" applyBorder="1" applyAlignment="1">
      <alignment horizontal="centerContinuous"/>
    </xf>
    <xf numFmtId="0" fontId="51" fillId="2" borderId="0" xfId="0" applyFont="1" applyFill="1" applyBorder="1"/>
    <xf numFmtId="0" fontId="18" fillId="2" borderId="0" xfId="0" applyFont="1" applyFill="1" applyBorder="1" applyAlignment="1">
      <alignment horizontal="left" indent="1"/>
    </xf>
    <xf numFmtId="44" fontId="17" fillId="10" borderId="1" xfId="1" applyFont="1" applyFill="1" applyBorder="1"/>
    <xf numFmtId="0" fontId="2" fillId="2" borderId="25" xfId="0" applyFont="1" applyFill="1" applyBorder="1" applyAlignment="1">
      <alignment horizontal="centerContinuous"/>
    </xf>
    <xf numFmtId="0" fontId="0" fillId="2" borderId="26" xfId="0" applyFill="1" applyBorder="1" applyAlignment="1">
      <alignment horizontal="centerContinuous"/>
    </xf>
    <xf numFmtId="0" fontId="0" fillId="2" borderId="27" xfId="0" applyFill="1" applyBorder="1" applyAlignment="1">
      <alignment horizontal="centerContinuous"/>
    </xf>
    <xf numFmtId="0" fontId="0" fillId="2" borderId="28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6" fontId="2" fillId="10" borderId="32" xfId="0" applyNumberFormat="1" applyFont="1" applyFill="1" applyBorder="1" applyAlignment="1">
      <alignment horizontal="center"/>
    </xf>
    <xf numFmtId="0" fontId="0" fillId="2" borderId="33" xfId="0" applyFill="1" applyBorder="1"/>
    <xf numFmtId="0" fontId="2" fillId="2" borderId="34" xfId="0" applyFont="1" applyFill="1" applyBorder="1" applyAlignment="1">
      <alignment horizontal="centerContinuous"/>
    </xf>
    <xf numFmtId="0" fontId="0" fillId="2" borderId="35" xfId="0" applyFill="1" applyBorder="1" applyAlignment="1">
      <alignment horizontal="centerContinuous"/>
    </xf>
    <xf numFmtId="0" fontId="0" fillId="2" borderId="36" xfId="0" applyFill="1" applyBorder="1" applyAlignment="1">
      <alignment horizontal="centerContinuous"/>
    </xf>
    <xf numFmtId="0" fontId="0" fillId="2" borderId="37" xfId="0" applyFill="1" applyBorder="1"/>
    <xf numFmtId="0" fontId="0" fillId="2" borderId="38" xfId="0" applyFill="1" applyBorder="1"/>
    <xf numFmtId="0" fontId="0" fillId="2" borderId="37" xfId="0" applyFill="1" applyBorder="1" applyAlignment="1">
      <alignment horizontal="left"/>
    </xf>
    <xf numFmtId="0" fontId="0" fillId="2" borderId="39" xfId="0" applyFill="1" applyBorder="1"/>
    <xf numFmtId="10" fontId="2" fillId="10" borderId="40" xfId="0" applyNumberFormat="1" applyFont="1" applyFill="1" applyBorder="1" applyAlignment="1">
      <alignment horizontal="center"/>
    </xf>
    <xf numFmtId="0" fontId="0" fillId="2" borderId="41" xfId="0" applyFill="1" applyBorder="1"/>
    <xf numFmtId="44" fontId="0" fillId="2" borderId="3" xfId="0" applyNumberFormat="1" applyFill="1" applyBorder="1" applyAlignment="1">
      <alignment horizontal="center" vertical="center"/>
    </xf>
    <xf numFmtId="44" fontId="0" fillId="2" borderId="3" xfId="0" applyNumberFormat="1" applyFill="1" applyBorder="1"/>
    <xf numFmtId="0" fontId="11" fillId="3" borderId="42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/>
    </xf>
    <xf numFmtId="44" fontId="0" fillId="2" borderId="3" xfId="1" applyFont="1" applyFill="1" applyBorder="1" applyAlignment="1">
      <alignment horizontal="center"/>
    </xf>
    <xf numFmtId="44" fontId="11" fillId="3" borderId="45" xfId="1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7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Continuous"/>
    </xf>
    <xf numFmtId="0" fontId="11" fillId="3" borderId="48" xfId="0" applyFont="1" applyFill="1" applyBorder="1" applyAlignment="1">
      <alignment horizontal="center" vertical="center" wrapText="1"/>
    </xf>
    <xf numFmtId="0" fontId="31" fillId="2" borderId="9" xfId="0" applyFont="1" applyFill="1" applyBorder="1" applyAlignment="1">
      <alignment horizontal="lef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 patternType="none">
          <bgColor auto="1"/>
        </patternFill>
      </fill>
    </dxf>
    <dxf>
      <fill>
        <patternFill>
          <bgColor rgb="FF00B0F0"/>
        </patternFill>
      </fill>
    </dxf>
    <dxf>
      <border>
        <bottom style="thin">
          <color auto="1"/>
        </bottom>
        <vertical/>
        <horizontal/>
      </border>
    </dxf>
    <dxf>
      <numFmt numFmtId="34" formatCode="_(&quot;$&quot;* #,##0.00_);_(&quot;$&quot;* \(#,##0.00\);_(&quot;$&quot;* &quot;-&quot;??_);_(@_)"/>
      <fill>
        <patternFill patternType="solid">
          <bgColor theme="0"/>
        </patternFill>
      </fill>
      <border>
        <left/>
        <right/>
        <top/>
        <bottom/>
        <vertical/>
        <horizontal/>
      </border>
    </dxf>
  </dxfs>
  <tableStyles count="0" defaultTableStyle="TableStyleMedium2" defaultPivotStyle="PivotStyleLight16"/>
  <colors>
    <mruColors>
      <color rgb="FFE8B9AC"/>
      <color rgb="FFEBED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Home Equity, Value</a:t>
            </a:r>
            <a:r>
              <a:rPr lang="en-US" b="1" baseline="0"/>
              <a:t> and Cash Outflows over 40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'Flujos Anuales'!$M$8</c:f>
              <c:strCache>
                <c:ptCount val="1"/>
                <c:pt idx="0">
                  <c:v>Cumulative
Cash Outflow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Anuales'!$M$9:$M$49</c:f>
              <c:numCache>
                <c:formatCode>_("$"* #,##0.00_);_("$"* \(#,##0.00\);_("$"* "-"??_);_(@_)</c:formatCode>
                <c:ptCount val="41"/>
                <c:pt idx="0">
                  <c:v>70411.103930489669</c:v>
                </c:pt>
                <c:pt idx="1">
                  <c:v>98851.839547835974</c:v>
                </c:pt>
                <c:pt idx="2">
                  <c:v>124973.44027906992</c:v>
                </c:pt>
                <c:pt idx="3">
                  <c:v>150758.97445620099</c:v>
                </c:pt>
                <c:pt idx="4">
                  <c:v>176708.72964856093</c:v>
                </c:pt>
                <c:pt idx="5">
                  <c:v>202828.91174933745</c:v>
                </c:pt>
                <c:pt idx="6">
                  <c:v>229126.00073167137</c:v>
                </c:pt>
                <c:pt idx="7">
                  <c:v>255606.76309804403</c:v>
                </c:pt>
                <c:pt idx="8">
                  <c:v>282278.26489776548</c:v>
                </c:pt>
                <c:pt idx="9">
                  <c:v>309147.88533850783</c:v>
                </c:pt>
                <c:pt idx="10">
                  <c:v>336223.33101901197</c:v>
                </c:pt>
                <c:pt idx="11">
                  <c:v>363512.65081133595</c:v>
                </c:pt>
                <c:pt idx="12">
                  <c:v>391024.25142230833</c:v>
                </c:pt>
                <c:pt idx="13">
                  <c:v>418766.91366520518</c:v>
                </c:pt>
                <c:pt idx="14">
                  <c:v>446749.80947408557</c:v>
                </c:pt>
                <c:pt idx="15">
                  <c:v>474982.51969470218</c:v>
                </c:pt>
                <c:pt idx="16">
                  <c:v>503475.05268745276</c:v>
                </c:pt>
                <c:pt idx="17">
                  <c:v>532237.86377945787</c:v>
                </c:pt>
                <c:pt idx="18">
                  <c:v>561281.87560454442</c:v>
                </c:pt>
                <c:pt idx="19">
                  <c:v>590618.49937168544</c:v>
                </c:pt>
                <c:pt idx="20">
                  <c:v>620259.65710429824</c:v>
                </c:pt>
                <c:pt idx="21">
                  <c:v>650217.80489474186</c:v>
                </c:pt>
                <c:pt idx="22">
                  <c:v>680505.95722037624</c:v>
                </c:pt>
                <c:pt idx="23">
                  <c:v>711137.71236966713</c:v>
                </c:pt>
                <c:pt idx="24">
                  <c:v>742127.27902903187</c:v>
                </c:pt>
                <c:pt idx="25">
                  <c:v>773489.50408343947</c:v>
                </c:pt>
                <c:pt idx="26">
                  <c:v>805239.90168619715</c:v>
                </c:pt>
                <c:pt idx="27">
                  <c:v>837394.68365588924</c:v>
                </c:pt>
                <c:pt idx="28">
                  <c:v>869970.791261081</c:v>
                </c:pt>
                <c:pt idx="29">
                  <c:v>902985.92845616885</c:v>
                </c:pt>
                <c:pt idx="30">
                  <c:v>915037.90817472106</c:v>
                </c:pt>
                <c:pt idx="31">
                  <c:v>925584.0296857768</c:v>
                </c:pt>
                <c:pt idx="32">
                  <c:v>936591.59219962126</c:v>
                </c:pt>
                <c:pt idx="33">
                  <c:v>948081.46945513284</c:v>
                </c:pt>
                <c:pt idx="34">
                  <c:v>960075.48657123395</c:v>
                </c:pt>
                <c:pt idx="35">
                  <c:v>972596.46348079434</c:v>
                </c:pt>
                <c:pt idx="36">
                  <c:v>985668.2603481703</c:v>
                </c:pt>
                <c:pt idx="37">
                  <c:v>999315.82506097865</c:v>
                </c:pt>
                <c:pt idx="38">
                  <c:v>1013565.2428908451</c:v>
                </c:pt>
                <c:pt idx="39">
                  <c:v>1028443.7884221913</c:v>
                </c:pt>
                <c:pt idx="40">
                  <c:v>1043979.9798526523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2-4BFC-ACB6-D9FB09EA9949}"/>
            </c:ext>
          </c:extLst>
        </c:ser>
        <c:ser>
          <c:idx val="1"/>
          <c:order val="1"/>
          <c:tx>
            <c:strRef>
              <c:f>'Flujos Anuales'!$E$8</c:f>
              <c:strCache>
                <c:ptCount val="1"/>
                <c:pt idx="0">
                  <c:v>Home Value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Anuales'!$E$9:$E$49</c:f>
              <c:numCache>
                <c:formatCode>_("$"* #,##0.00_);_("$"* \(#,##0.00\);_("$"* "-"??_);_(@_)</c:formatCode>
                <c:ptCount val="41"/>
                <c:pt idx="0">
                  <c:v>249900</c:v>
                </c:pt>
                <c:pt idx="1">
                  <c:v>261314.14883766472</c:v>
                </c:pt>
                <c:pt idx="2">
                  <c:v>273249.63738596713</c:v>
                </c:pt>
                <c:pt idx="3">
                  <c:v>285730.27776596451</c:v>
                </c:pt>
                <c:pt idx="4">
                  <c:v>298780.96971413575</c:v>
                </c:pt>
                <c:pt idx="5">
                  <c:v>312427.75025906949</c:v>
                </c:pt>
                <c:pt idx="6">
                  <c:v>326697.84566712781</c:v>
                </c:pt>
                <c:pt idx="7">
                  <c:v>341619.72576072125</c:v>
                </c:pt>
                <c:pt idx="8">
                  <c:v>357223.16071756434</c:v>
                </c:pt>
                <c:pt idx="9">
                  <c:v>373539.28046422818</c:v>
                </c:pt>
                <c:pt idx="10">
                  <c:v>390600.63678248704</c:v>
                </c:pt>
                <c:pt idx="11">
                  <c:v>408441.26825236261</c:v>
                </c:pt>
                <c:pt idx="12">
                  <c:v>427096.76816143439</c:v>
                </c:pt>
                <c:pt idx="13">
                  <c:v>446604.35551589687</c:v>
                </c:pt>
                <c:pt idx="14">
                  <c:v>467002.9492950397</c:v>
                </c:pt>
                <c:pt idx="15">
                  <c:v>488333.24609728839</c:v>
                </c:pt>
                <c:pt idx="16">
                  <c:v>510637.80133272021</c:v>
                </c:pt>
                <c:pt idx="17">
                  <c:v>533961.11412403488</c:v>
                </c:pt>
                <c:pt idx="18">
                  <c:v>558349.71608536749</c:v>
                </c:pt>
                <c:pt idx="19">
                  <c:v>583852.26415606064</c:v>
                </c:pt>
                <c:pt idx="20">
                  <c:v>610519.63767460722</c:v>
                </c:pt>
                <c:pt idx="21">
                  <c:v>638405.03988643235</c:v>
                </c:pt>
                <c:pt idx="22">
                  <c:v>667564.10408802913</c:v>
                </c:pt>
                <c:pt idx="23">
                  <c:v>698055.00461921375</c:v>
                </c:pt>
                <c:pt idx="24">
                  <c:v>729938.57292493794</c:v>
                </c:pt>
                <c:pt idx="25">
                  <c:v>763278.41891820647</c:v>
                </c:pt>
                <c:pt idx="26">
                  <c:v>798141.05788623297</c:v>
                </c:pt>
                <c:pt idx="27">
                  <c:v>834596.04319301411</c:v>
                </c:pt>
                <c:pt idx="28">
                  <c:v>872716.10504307877</c:v>
                </c:pt>
                <c:pt idx="29">
                  <c:v>912577.29558324965</c:v>
                </c:pt>
                <c:pt idx="30">
                  <c:v>954259.14063191228</c:v>
                </c:pt>
                <c:pt idx="31">
                  <c:v>997844.79833849333</c:v>
                </c:pt>
                <c:pt idx="32">
                  <c:v>1043421.2250896943</c:v>
                </c:pt>
                <c:pt idx="33">
                  <c:v>1091079.3489934646</c:v>
                </c:pt>
                <c:pt idx="34">
                  <c:v>1140914.251286837</c:v>
                </c:pt>
                <c:pt idx="35">
                  <c:v>1193025.356029537</c:v>
                </c:pt>
                <c:pt idx="36">
                  <c:v>1247516.6284618264</c:v>
                </c:pt>
                <c:pt idx="37">
                  <c:v>1304496.7824223104</c:v>
                </c:pt>
                <c:pt idx="38">
                  <c:v>1364079.4972395292</c:v>
                </c:pt>
                <c:pt idx="39">
                  <c:v>1426383.6445300407</c:v>
                </c:pt>
                <c:pt idx="40">
                  <c:v>1491533.5253554769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2-4BFC-ACB6-D9FB09EA9949}"/>
            </c:ext>
          </c:extLst>
        </c:ser>
        <c:ser>
          <c:idx val="2"/>
          <c:order val="2"/>
          <c:tx>
            <c:strRef>
              <c:f>'Flujos Anuales'!$G$8</c:f>
              <c:strCache>
                <c:ptCount val="1"/>
                <c:pt idx="0">
                  <c:v>Home Equity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Anuales'!$G$9:$G$49</c:f>
              <c:numCache>
                <c:formatCode>_("$"* #,##0.00_);_("$"* \(#,##0.00\);_("$"* "-"??_);_(@_)</c:formatCode>
                <c:ptCount val="41"/>
                <c:pt idx="0">
                  <c:v>23859.58208144817</c:v>
                </c:pt>
                <c:pt idx="1">
                  <c:v>37744.5202030488</c:v>
                </c:pt>
                <c:pt idx="2">
                  <c:v>52329.411592401564</c:v>
                </c:pt>
                <c:pt idx="3">
                  <c:v>67650.980359049601</c:v>
                </c:pt>
                <c:pt idx="4">
                  <c:v>83747.97163664925</c:v>
                </c:pt>
                <c:pt idx="5">
                  <c:v>100661.26873584808</c:v>
                </c:pt>
                <c:pt idx="6">
                  <c:v>118434.01744399749</c:v>
                </c:pt>
                <c:pt idx="7">
                  <c:v>137111.75792795702</c:v>
                </c:pt>
                <c:pt idx="8">
                  <c:v>156742.56472647045</c:v>
                </c:pt>
                <c:pt idx="9">
                  <c:v>177377.19535087713</c:v>
                </c:pt>
                <c:pt idx="10">
                  <c:v>199069.24804740935</c:v>
                </c:pt>
                <c:pt idx="11">
                  <c:v>221875.32931116442</c:v>
                </c:pt>
                <c:pt idx="12">
                  <c:v>245855.23178120272</c:v>
                </c:pt>
                <c:pt idx="13">
                  <c:v>271072.1231882752</c:v>
                </c:pt>
                <c:pt idx="14">
                  <c:v>297592.74707162404</c:v>
                </c:pt>
                <c:pt idx="15">
                  <c:v>325487.63602931617</c:v>
                </c:pt>
                <c:pt idx="16">
                  <c:v>354831.33831789659</c:v>
                </c:pt>
                <c:pt idx="17">
                  <c:v>385702.65867199091</c:v>
                </c:pt>
                <c:pt idx="18">
                  <c:v>418184.91427312</c:v>
                </c:pt>
                <c:pt idx="19">
                  <c:v>452366.20685965288</c:v>
                </c:pt>
                <c:pt idx="20">
                  <c:v>488339.71203681978</c:v>
                </c:pt>
                <c:pt idx="21">
                  <c:v>526203.98691732576</c:v>
                </c:pt>
                <c:pt idx="22">
                  <c:v>566063.29729967634</c:v>
                </c:pt>
                <c:pt idx="23">
                  <c:v>608027.96567320311</c:v>
                </c:pt>
                <c:pt idx="24">
                  <c:v>652214.74142631795</c:v>
                </c:pt>
                <c:pt idx="25">
                  <c:v>698747.19472814025</c:v>
                </c:pt>
                <c:pt idx="26">
                  <c:v>747756.13565376028</c:v>
                </c:pt>
                <c:pt idx="27">
                  <c:v>799380.06023046619</c:v>
                </c:pt>
                <c:pt idx="28">
                  <c:v>853765.62519678182</c:v>
                </c:pt>
                <c:pt idx="29">
                  <c:v>911068.1533886448</c:v>
                </c:pt>
                <c:pt idx="30">
                  <c:v>954259.14063191228</c:v>
                </c:pt>
                <c:pt idx="31">
                  <c:v>997844.79833849333</c:v>
                </c:pt>
                <c:pt idx="32">
                  <c:v>1043421.2250896943</c:v>
                </c:pt>
                <c:pt idx="33">
                  <c:v>1091079.3489934646</c:v>
                </c:pt>
                <c:pt idx="34">
                  <c:v>1140914.251286837</c:v>
                </c:pt>
                <c:pt idx="35">
                  <c:v>1193025.356029537</c:v>
                </c:pt>
                <c:pt idx="36">
                  <c:v>1247516.6284618264</c:v>
                </c:pt>
                <c:pt idx="37">
                  <c:v>1304496.7824223104</c:v>
                </c:pt>
                <c:pt idx="38">
                  <c:v>1364079.4972395292</c:v>
                </c:pt>
                <c:pt idx="39">
                  <c:v>1426383.6445300407</c:v>
                </c:pt>
                <c:pt idx="40">
                  <c:v>1491533.5253554769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2-4BFC-ACB6-D9FB09EA9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82608"/>
        <c:axId val="1104483568"/>
      </c:lineChart>
      <c:catAx>
        <c:axId val="11044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3568"/>
        <c:crosses val="autoZero"/>
        <c:auto val="1"/>
        <c:lblAlgn val="ctr"/>
        <c:lblOffset val="100"/>
        <c:noMultiLvlLbl val="0"/>
      </c:catAx>
      <c:valAx>
        <c:axId val="11044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58986745281807"/>
          <c:y val="0.82037424029220685"/>
          <c:w val="0.7572181565105599"/>
          <c:h val="0.145817191102062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Pagos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Mensuales'!$D$13</c:f>
              <c:strCache>
                <c:ptCount val="1"/>
                <c:pt idx="0">
                  <c:v>Interes
(van bajando)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Mensuales'!$D$14:$D$374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1330.9257500000001</c:v>
                </c:pt>
                <c:pt idx="2">
                  <c:v>1329.8348013179345</c:v>
                </c:pt>
                <c:pt idx="3">
                  <c:v>1328.7374887685569</c:v>
                </c:pt>
                <c:pt idx="4">
                  <c:v>1327.633775229308</c:v>
                </c:pt>
                <c:pt idx="5">
                  <c:v>1326.5236233610801</c:v>
                </c:pt>
                <c:pt idx="6">
                  <c:v>1325.4069956069543</c:v>
                </c:pt>
                <c:pt idx="7">
                  <c:v>1324.2838541909293</c:v>
                </c:pt>
                <c:pt idx="8">
                  <c:v>1323.1541611166442</c:v>
                </c:pt>
                <c:pt idx="9">
                  <c:v>1322.0178781660923</c:v>
                </c:pt>
                <c:pt idx="10">
                  <c:v>1320.8749668983289</c:v>
                </c:pt>
                <c:pt idx="11">
                  <c:v>1319.7253886481703</c:v>
                </c:pt>
                <c:pt idx="12">
                  <c:v>1318.5691045248857</c:v>
                </c:pt>
                <c:pt idx="13">
                  <c:v>1317.4060754108821</c:v>
                </c:pt>
                <c:pt idx="14">
                  <c:v>1316.2362619603798</c:v>
                </c:pt>
                <c:pt idx="15">
                  <c:v>1315.0596245980832</c:v>
                </c:pt>
                <c:pt idx="16">
                  <c:v>1313.8761235178399</c:v>
                </c:pt>
                <c:pt idx="17">
                  <c:v>1312.6857186812949</c:v>
                </c:pt>
                <c:pt idx="18">
                  <c:v>1311.488369816537</c:v>
                </c:pt>
                <c:pt idx="19">
                  <c:v>1310.2840364167346</c:v>
                </c:pt>
                <c:pt idx="20">
                  <c:v>1309.0726777387667</c:v>
                </c:pt>
                <c:pt idx="21">
                  <c:v>1307.854252801844</c:v>
                </c:pt>
                <c:pt idx="22">
                  <c:v>1306.6287203861225</c:v>
                </c:pt>
                <c:pt idx="23">
                  <c:v>1305.3960390313091</c:v>
                </c:pt>
                <c:pt idx="24">
                  <c:v>1304.1561670352596</c:v>
                </c:pt>
                <c:pt idx="25">
                  <c:v>1302.9090624525663</c:v>
                </c:pt>
                <c:pt idx="26">
                  <c:v>1301.6546830931409</c:v>
                </c:pt>
                <c:pt idx="27">
                  <c:v>1300.3929865207851</c:v>
                </c:pt>
                <c:pt idx="28">
                  <c:v>1299.1239300517575</c:v>
                </c:pt>
                <c:pt idx="29">
                  <c:v>1297.8474707533271</c:v>
                </c:pt>
                <c:pt idx="30">
                  <c:v>1296.5635654423227</c:v>
                </c:pt>
                <c:pt idx="31">
                  <c:v>1295.2721706836708</c:v>
                </c:pt>
                <c:pt idx="32">
                  <c:v>1293.9732427889267</c:v>
                </c:pt>
                <c:pt idx="33">
                  <c:v>1292.6667378147965</c:v>
                </c:pt>
                <c:pt idx="34">
                  <c:v>1291.3526115616505</c:v>
                </c:pt>
                <c:pt idx="35">
                  <c:v>1290.0308195720279</c:v>
                </c:pt>
                <c:pt idx="36">
                  <c:v>1288.7013171291326</c:v>
                </c:pt>
                <c:pt idx="37">
                  <c:v>1287.3640592553202</c:v>
                </c:pt>
                <c:pt idx="38">
                  <c:v>1286.0190007105775</c:v>
                </c:pt>
                <c:pt idx="39">
                  <c:v>1284.6660959909902</c:v>
                </c:pt>
                <c:pt idx="40">
                  <c:v>1283.3052993272054</c:v>
                </c:pt>
                <c:pt idx="41">
                  <c:v>1281.9365646828819</c:v>
                </c:pt>
                <c:pt idx="42">
                  <c:v>1280.559845753133</c:v>
                </c:pt>
                <c:pt idx="43">
                  <c:v>1279.1750959629608</c:v>
                </c:pt>
                <c:pt idx="44">
                  <c:v>1277.782268465679</c:v>
                </c:pt>
                <c:pt idx="45">
                  <c:v>1276.38131614133</c:v>
                </c:pt>
                <c:pt idx="46">
                  <c:v>1274.9721915950888</c:v>
                </c:pt>
                <c:pt idx="47">
                  <c:v>1273.5548471556613</c:v>
                </c:pt>
                <c:pt idx="48">
                  <c:v>1272.1292348736704</c:v>
                </c:pt>
                <c:pt idx="49">
                  <c:v>1270.6953065200346</c:v>
                </c:pt>
                <c:pt idx="50">
                  <c:v>1269.2530135843358</c:v>
                </c:pt>
                <c:pt idx="51">
                  <c:v>1267.8023072731789</c:v>
                </c:pt>
                <c:pt idx="52">
                  <c:v>1266.3431385085403</c:v>
                </c:pt>
                <c:pt idx="53">
                  <c:v>1264.8754579261079</c:v>
                </c:pt>
                <c:pt idx="54">
                  <c:v>1263.3992158736112</c:v>
                </c:pt>
                <c:pt idx="55">
                  <c:v>1261.9143624091416</c:v>
                </c:pt>
                <c:pt idx="56">
                  <c:v>1260.4208472994626</c:v>
                </c:pt>
                <c:pt idx="57">
                  <c:v>1258.9186200183105</c:v>
                </c:pt>
                <c:pt idx="58">
                  <c:v>1257.4076297446852</c:v>
                </c:pt>
                <c:pt idx="59">
                  <c:v>1255.8878253611301</c:v>
                </c:pt>
                <c:pt idx="60">
                  <c:v>1254.3591554520046</c:v>
                </c:pt>
                <c:pt idx="61">
                  <c:v>1252.8215683017424</c:v>
                </c:pt>
                <c:pt idx="62">
                  <c:v>1251.2750118931037</c:v>
                </c:pt>
                <c:pt idx="63">
                  <c:v>1249.7194339054145</c:v>
                </c:pt>
                <c:pt idx="64">
                  <c:v>1248.1547817127973</c:v>
                </c:pt>
                <c:pt idx="65">
                  <c:v>1246.5810023823897</c:v>
                </c:pt>
                <c:pt idx="66">
                  <c:v>1244.9980426725549</c:v>
                </c:pt>
                <c:pt idx="67">
                  <c:v>1243.4058490310792</c:v>
                </c:pt>
                <c:pt idx="68">
                  <c:v>1241.8043675933616</c:v>
                </c:pt>
                <c:pt idx="69">
                  <c:v>1240.1935441805906</c:v>
                </c:pt>
                <c:pt idx="70">
                  <c:v>1238.5733242979115</c:v>
                </c:pt>
                <c:pt idx="71">
                  <c:v>1236.9436531325839</c:v>
                </c:pt>
                <c:pt idx="72">
                  <c:v>1235.304475552125</c:v>
                </c:pt>
                <c:pt idx="73">
                  <c:v>1233.6557361024468</c:v>
                </c:pt>
                <c:pt idx="74">
                  <c:v>1231.9973790059787</c:v>
                </c:pt>
                <c:pt idx="75">
                  <c:v>1230.3293481597814</c:v>
                </c:pt>
                <c:pt idx="76">
                  <c:v>1228.651587133648</c:v>
                </c:pt>
                <c:pt idx="77">
                  <c:v>1226.9640391681953</c:v>
                </c:pt>
                <c:pt idx="78">
                  <c:v>1225.2666471729442</c:v>
                </c:pt>
                <c:pt idx="79">
                  <c:v>1223.5593537243876</c:v>
                </c:pt>
                <c:pt idx="80">
                  <c:v>1221.8421010640477</c:v>
                </c:pt>
                <c:pt idx="81">
                  <c:v>1220.1148310965223</c:v>
                </c:pt>
                <c:pt idx="82">
                  <c:v>1218.37748538752</c:v>
                </c:pt>
                <c:pt idx="83">
                  <c:v>1216.6300051618816</c:v>
                </c:pt>
                <c:pt idx="84">
                  <c:v>1214.8723313015935</c:v>
                </c:pt>
                <c:pt idx="85">
                  <c:v>1213.1044043437873</c:v>
                </c:pt>
                <c:pt idx="86">
                  <c:v>1211.3261644787272</c:v>
                </c:pt>
                <c:pt idx="87">
                  <c:v>1209.5375515477876</c:v>
                </c:pt>
                <c:pt idx="88">
                  <c:v>1207.7385050414175</c:v>
                </c:pt>
                <c:pt idx="89">
                  <c:v>1205.9289640970935</c:v>
                </c:pt>
                <c:pt idx="90">
                  <c:v>1204.1088674972609</c:v>
                </c:pt>
                <c:pt idx="91">
                  <c:v>1202.2781536672626</c:v>
                </c:pt>
                <c:pt idx="92">
                  <c:v>1200.4367606732562</c:v>
                </c:pt>
                <c:pt idx="93">
                  <c:v>1198.5846262201178</c:v>
                </c:pt>
                <c:pt idx="94">
                  <c:v>1196.7216876493362</c:v>
                </c:pt>
                <c:pt idx="95">
                  <c:v>1194.8478819368918</c:v>
                </c:pt>
                <c:pt idx="96">
                  <c:v>1192.9631456911247</c:v>
                </c:pt>
                <c:pt idx="97">
                  <c:v>1191.0674151505907</c:v>
                </c:pt>
                <c:pt idx="98">
                  <c:v>1189.1606261819036</c:v>
                </c:pt>
                <c:pt idx="99">
                  <c:v>1187.2427142775657</c:v>
                </c:pt>
                <c:pt idx="100">
                  <c:v>1185.313614553786</c:v>
                </c:pt>
                <c:pt idx="101">
                  <c:v>1183.3732617482842</c:v>
                </c:pt>
                <c:pt idx="102">
                  <c:v>1181.4215902180838</c:v>
                </c:pt>
                <c:pt idx="103">
                  <c:v>1179.4585339372904</c:v>
                </c:pt>
                <c:pt idx="104">
                  <c:v>1177.4840264948591</c:v>
                </c:pt>
                <c:pt idx="105">
                  <c:v>1175.4980010923468</c:v>
                </c:pt>
                <c:pt idx="106">
                  <c:v>1173.5003905416531</c:v>
                </c:pt>
                <c:pt idx="107">
                  <c:v>1171.4911272627473</c:v>
                </c:pt>
                <c:pt idx="108">
                  <c:v>1169.4701432813811</c:v>
                </c:pt>
                <c:pt idx="109">
                  <c:v>1167.4373702267901</c:v>
                </c:pt>
                <c:pt idx="110">
                  <c:v>1165.3927393293809</c:v>
                </c:pt>
                <c:pt idx="111">
                  <c:v>1163.3361814184034</c:v>
                </c:pt>
                <c:pt idx="112">
                  <c:v>1161.2676269196118</c:v>
                </c:pt>
                <c:pt idx="113">
                  <c:v>1159.1870058529107</c:v>
                </c:pt>
                <c:pt idx="114">
                  <c:v>1157.0942478299871</c:v>
                </c:pt>
                <c:pt idx="115">
                  <c:v>1154.9892820519299</c:v>
                </c:pt>
                <c:pt idx="116">
                  <c:v>1152.8720373068338</c:v>
                </c:pt>
                <c:pt idx="117">
                  <c:v>1150.7424419673914</c:v>
                </c:pt>
                <c:pt idx="118">
                  <c:v>1148.6004239884689</c:v>
                </c:pt>
                <c:pt idx="119">
                  <c:v>1146.4459109046695</c:v>
                </c:pt>
                <c:pt idx="120">
                  <c:v>1144.2788298278813</c:v>
                </c:pt>
                <c:pt idx="121">
                  <c:v>1142.0991074448116</c:v>
                </c:pt>
                <c:pt idx="122">
                  <c:v>1139.9066700145074</c:v>
                </c:pt>
                <c:pt idx="123">
                  <c:v>1137.7014433658599</c:v>
                </c:pt>
                <c:pt idx="124">
                  <c:v>1135.4833528950953</c:v>
                </c:pt>
                <c:pt idx="125">
                  <c:v>1133.2523235632511</c:v>
                </c:pt>
                <c:pt idx="126">
                  <c:v>1131.0082798936378</c:v>
                </c:pt>
                <c:pt idx="127">
                  <c:v>1128.7511459692851</c:v>
                </c:pt>
                <c:pt idx="128">
                  <c:v>1126.4808454303738</c:v>
                </c:pt>
                <c:pt idx="129">
                  <c:v>1124.1973014716521</c:v>
                </c:pt>
                <c:pt idx="130">
                  <c:v>1121.9004368398378</c:v>
                </c:pt>
                <c:pt idx="131">
                  <c:v>1119.5901738310047</c:v>
                </c:pt>
                <c:pt idx="132">
                  <c:v>1117.2664342879532</c:v>
                </c:pt>
                <c:pt idx="133">
                  <c:v>1114.9291395975674</c:v>
                </c:pt>
                <c:pt idx="134">
                  <c:v>1112.5782106881543</c:v>
                </c:pt>
                <c:pt idx="135">
                  <c:v>1110.2135680267695</c:v>
                </c:pt>
                <c:pt idx="136">
                  <c:v>1107.8351316165267</c:v>
                </c:pt>
                <c:pt idx="137">
                  <c:v>1105.4428209938908</c:v>
                </c:pt>
                <c:pt idx="138">
                  <c:v>1103.0365552259564</c:v>
                </c:pt>
                <c:pt idx="139">
                  <c:v>1100.6162529077089</c:v>
                </c:pt>
                <c:pt idx="140">
                  <c:v>1098.1818321592716</c:v>
                </c:pt>
                <c:pt idx="141">
                  <c:v>1095.7332106231352</c:v>
                </c:pt>
                <c:pt idx="142">
                  <c:v>1093.2703054613712</c:v>
                </c:pt>
                <c:pt idx="143">
                  <c:v>1090.7930333528302</c:v>
                </c:pt>
                <c:pt idx="144">
                  <c:v>1088.301310490323</c:v>
                </c:pt>
                <c:pt idx="145">
                  <c:v>1085.7950525777842</c:v>
                </c:pt>
                <c:pt idx="146">
                  <c:v>1083.2741748274223</c:v>
                </c:pt>
                <c:pt idx="147">
                  <c:v>1080.7385919568501</c:v>
                </c:pt>
                <c:pt idx="148">
                  <c:v>1078.1882181861995</c:v>
                </c:pt>
                <c:pt idx="149">
                  <c:v>1075.6229672352201</c:v>
                </c:pt>
                <c:pt idx="150">
                  <c:v>1073.04275232036</c:v>
                </c:pt>
                <c:pt idx="151">
                  <c:v>1070.4474861518299</c:v>
                </c:pt>
                <c:pt idx="152">
                  <c:v>1067.83708093065</c:v>
                </c:pt>
                <c:pt idx="153">
                  <c:v>1065.2114483456801</c:v>
                </c:pt>
                <c:pt idx="154">
                  <c:v>1062.570499570631</c:v>
                </c:pt>
                <c:pt idx="155">
                  <c:v>1059.9141452610609</c:v>
                </c:pt>
                <c:pt idx="156">
                  <c:v>1057.2422955513514</c:v>
                </c:pt>
                <c:pt idx="157">
                  <c:v>1054.5548600516688</c:v>
                </c:pt>
                <c:pt idx="158">
                  <c:v>1051.8517478449046</c:v>
                </c:pt>
                <c:pt idx="159">
                  <c:v>1049.1328674836011</c:v>
                </c:pt>
                <c:pt idx="160">
                  <c:v>1046.3981269868564</c:v>
                </c:pt>
                <c:pt idx="161">
                  <c:v>1043.6474338372141</c:v>
                </c:pt>
                <c:pt idx="162">
                  <c:v>1040.8806949775324</c:v>
                </c:pt>
                <c:pt idx="163">
                  <c:v>1038.0978168078357</c:v>
                </c:pt>
                <c:pt idx="164">
                  <c:v>1035.2987051821492</c:v>
                </c:pt>
                <c:pt idx="165">
                  <c:v>1032.4832654053127</c:v>
                </c:pt>
                <c:pt idx="166">
                  <c:v>1029.6514022297783</c:v>
                </c:pt>
                <c:pt idx="167">
                  <c:v>1026.8030198523863</c:v>
                </c:pt>
                <c:pt idx="168">
                  <c:v>1023.9380219111264</c:v>
                </c:pt>
                <c:pt idx="169">
                  <c:v>1021.0563114818757</c:v>
                </c:pt>
                <c:pt idx="170">
                  <c:v>1018.1577910751211</c:v>
                </c:pt>
                <c:pt idx="171">
                  <c:v>1015.2423626326604</c:v>
                </c:pt>
                <c:pt idx="172">
                  <c:v>1012.3099275242853</c:v>
                </c:pt>
                <c:pt idx="173">
                  <c:v>1009.3603865444447</c:v>
                </c:pt>
                <c:pt idx="174">
                  <c:v>1006.3936399088884</c:v>
                </c:pt>
                <c:pt idx="175">
                  <c:v>1003.4095872512913</c:v>
                </c:pt>
                <c:pt idx="176">
                  <c:v>1000.4081276198583</c:v>
                </c:pt>
                <c:pt idx="177">
                  <c:v>997.38915947390853</c:v>
                </c:pt>
                <c:pt idx="178">
                  <c:v>994.35258068044084</c:v>
                </c:pt>
                <c:pt idx="179">
                  <c:v>991.29828851067782</c:v>
                </c:pt>
                <c:pt idx="180">
                  <c:v>988.22617963659127</c:v>
                </c:pt>
                <c:pt idx="181">
                  <c:v>985.1361501274057</c:v>
                </c:pt>
                <c:pt idx="182">
                  <c:v>982.0280954460834</c:v>
                </c:pt>
                <c:pt idx="183">
                  <c:v>978.90191044578648</c:v>
                </c:pt>
                <c:pt idx="184">
                  <c:v>975.75748936632135</c:v>
                </c:pt>
                <c:pt idx="185">
                  <c:v>972.59472583055936</c:v>
                </c:pt>
                <c:pt idx="186">
                  <c:v>969.41351284083862</c:v>
                </c:pt>
                <c:pt idx="187">
                  <c:v>966.2137427753446</c:v>
                </c:pt>
                <c:pt idx="188">
                  <c:v>962.99530738446867</c:v>
                </c:pt>
                <c:pt idx="189">
                  <c:v>959.75809778714586</c:v>
                </c:pt>
                <c:pt idx="190">
                  <c:v>956.5020044671719</c:v>
                </c:pt>
                <c:pt idx="191">
                  <c:v>953.22691726949813</c:v>
                </c:pt>
                <c:pt idx="192">
                  <c:v>949.93272539650468</c:v>
                </c:pt>
                <c:pt idx="193">
                  <c:v>946.619317404252</c:v>
                </c:pt>
                <c:pt idx="194">
                  <c:v>943.28658119871136</c:v>
                </c:pt>
                <c:pt idx="195">
                  <c:v>939.93440403197167</c:v>
                </c:pt>
                <c:pt idx="196">
                  <c:v>936.56267249842585</c:v>
                </c:pt>
                <c:pt idx="197">
                  <c:v>933.1712725309344</c:v>
                </c:pt>
                <c:pt idx="198">
                  <c:v>929.7600893969659</c:v>
                </c:pt>
                <c:pt idx="199">
                  <c:v>926.32900769471598</c:v>
                </c:pt>
                <c:pt idx="200">
                  <c:v>922.87791134920292</c:v>
                </c:pt>
                <c:pt idx="201">
                  <c:v>919.40668360834104</c:v>
                </c:pt>
                <c:pt idx="202">
                  <c:v>915.91520703899084</c:v>
                </c:pt>
                <c:pt idx="203">
                  <c:v>912.40336352298607</c:v>
                </c:pt>
                <c:pt idx="204">
                  <c:v>908.87103425313796</c:v>
                </c:pt>
                <c:pt idx="205">
                  <c:v>905.31809972921565</c:v>
                </c:pt>
                <c:pt idx="206">
                  <c:v>901.74443975390386</c:v>
                </c:pt>
                <c:pt idx="207">
                  <c:v>898.14993342873606</c:v>
                </c:pt>
                <c:pt idx="208">
                  <c:v>894.53445915000486</c:v>
                </c:pt>
                <c:pt idx="209">
                  <c:v>890.8978946046476</c:v>
                </c:pt>
                <c:pt idx="210">
                  <c:v>887.24011676610905</c:v>
                </c:pt>
                <c:pt idx="211">
                  <c:v>883.56100189017911</c:v>
                </c:pt>
                <c:pt idx="212">
                  <c:v>879.86042551080629</c:v>
                </c:pt>
                <c:pt idx="213">
                  <c:v>876.13826243588699</c:v>
                </c:pt>
                <c:pt idx="214">
                  <c:v>872.39438674303085</c:v>
                </c:pt>
                <c:pt idx="215">
                  <c:v>868.62867177529961</c:v>
                </c:pt>
                <c:pt idx="216">
                  <c:v>864.84099013692321</c:v>
                </c:pt>
                <c:pt idx="217">
                  <c:v>861.03121368898962</c:v>
                </c:pt>
                <c:pt idx="218">
                  <c:v>857.19921354510984</c:v>
                </c:pt>
                <c:pt idx="219">
                  <c:v>853.34486006705743</c:v>
                </c:pt>
                <c:pt idx="220">
                  <c:v>849.46802286038292</c:v>
                </c:pt>
                <c:pt idx="221">
                  <c:v>845.56857077000302</c:v>
                </c:pt>
                <c:pt idx="222">
                  <c:v>841.6463718757625</c:v>
                </c:pt>
                <c:pt idx="223">
                  <c:v>837.70129348797218</c:v>
                </c:pt>
                <c:pt idx="224">
                  <c:v>833.73320214291982</c:v>
                </c:pt>
                <c:pt idx="225">
                  <c:v>829.74196359835457</c:v>
                </c:pt>
                <c:pt idx="226">
                  <c:v>825.7274428289461</c:v>
                </c:pt>
                <c:pt idx="227">
                  <c:v>821.68950402171606</c:v>
                </c:pt>
                <c:pt idx="228">
                  <c:v>817.62801057144395</c:v>
                </c:pt>
                <c:pt idx="229">
                  <c:v>813.54282507604512</c:v>
                </c:pt>
                <c:pt idx="230">
                  <c:v>809.43380933192304</c:v>
                </c:pt>
                <c:pt idx="231">
                  <c:v>805.30082432929373</c:v>
                </c:pt>
                <c:pt idx="232">
                  <c:v>801.14373024748238</c:v>
                </c:pt>
                <c:pt idx="233">
                  <c:v>796.96238645019378</c:v>
                </c:pt>
                <c:pt idx="234">
                  <c:v>792.75665148075439</c:v>
                </c:pt>
                <c:pt idx="235">
                  <c:v>788.52638305732648</c:v>
                </c:pt>
                <c:pt idx="236">
                  <c:v>784.27143806809534</c:v>
                </c:pt>
                <c:pt idx="237">
                  <c:v>779.99167256642704</c:v>
                </c:pt>
                <c:pt idx="238">
                  <c:v>775.68694176599899</c:v>
                </c:pt>
                <c:pt idx="239">
                  <c:v>771.35710003590168</c:v>
                </c:pt>
                <c:pt idx="240">
                  <c:v>767.00200089571217</c:v>
                </c:pt>
                <c:pt idx="241">
                  <c:v>762.62149701053818</c:v>
                </c:pt>
                <c:pt idx="242">
                  <c:v>758.21544018603413</c:v>
                </c:pt>
                <c:pt idx="243">
                  <c:v>753.78368136338713</c:v>
                </c:pt>
                <c:pt idx="244">
                  <c:v>749.32607061427473</c:v>
                </c:pt>
                <c:pt idx="245">
                  <c:v>744.8424571357923</c:v>
                </c:pt>
                <c:pt idx="246">
                  <c:v>740.3326892453523</c:v>
                </c:pt>
                <c:pt idx="247">
                  <c:v>735.79661437555126</c:v>
                </c:pt>
                <c:pt idx="248">
                  <c:v>731.23407906900979</c:v>
                </c:pt>
                <c:pt idx="249">
                  <c:v>726.64492897318019</c:v>
                </c:pt>
                <c:pt idx="250">
                  <c:v>722.02900883512473</c:v>
                </c:pt>
                <c:pt idx="251">
                  <c:v>717.38616249626409</c:v>
                </c:pt>
                <c:pt idx="252">
                  <c:v>712.71623288709338</c:v>
                </c:pt>
                <c:pt idx="253">
                  <c:v>708.01906202186933</c:v>
                </c:pt>
                <c:pt idx="254">
                  <c:v>703.29449099326462</c:v>
                </c:pt>
                <c:pt idx="255">
                  <c:v>698.5423599669931</c:v>
                </c:pt>
                <c:pt idx="256">
                  <c:v>693.76250817640164</c:v>
                </c:pt>
                <c:pt idx="257">
                  <c:v>688.95477391703184</c:v>
                </c:pt>
                <c:pt idx="258">
                  <c:v>684.11899454114894</c:v>
                </c:pt>
                <c:pt idx="259">
                  <c:v>679.25500645224008</c:v>
                </c:pt>
                <c:pt idx="260">
                  <c:v>674.36264509947932</c:v>
                </c:pt>
                <c:pt idx="261">
                  <c:v>669.44174497216068</c:v>
                </c:pt>
                <c:pt idx="262">
                  <c:v>664.4921395940994</c:v>
                </c:pt>
                <c:pt idx="263">
                  <c:v>659.51366151799937</c:v>
                </c:pt>
                <c:pt idx="264">
                  <c:v>654.50614231978886</c:v>
                </c:pt>
                <c:pt idx="265">
                  <c:v>649.46941259292203</c:v>
                </c:pt>
                <c:pt idx="266">
                  <c:v>644.40330194264845</c:v>
                </c:pt>
                <c:pt idx="267">
                  <c:v>639.30763898024838</c:v>
                </c:pt>
                <c:pt idx="268">
                  <c:v>634.1822513172342</c:v>
                </c:pt>
                <c:pt idx="269">
                  <c:v>629.02696555951923</c:v>
                </c:pt>
                <c:pt idx="270">
                  <c:v>623.84160730155077</c:v>
                </c:pt>
                <c:pt idx="271">
                  <c:v>618.62600112041093</c:v>
                </c:pt>
                <c:pt idx="272">
                  <c:v>613.37997056988104</c:v>
                </c:pt>
                <c:pt idx="273">
                  <c:v>608.10333817447315</c:v>
                </c:pt>
                <c:pt idx="274">
                  <c:v>602.79592542342527</c:v>
                </c:pt>
                <c:pt idx="275">
                  <c:v>597.45755276466309</c:v>
                </c:pt>
                <c:pt idx="276">
                  <c:v>592.08803959872466</c:v>
                </c:pt>
                <c:pt idx="277">
                  <c:v>586.68720427265168</c:v>
                </c:pt>
                <c:pt idx="278">
                  <c:v>581.25486407384324</c:v>
                </c:pt>
                <c:pt idx="279">
                  <c:v>575.79083522387509</c:v>
                </c:pt>
                <c:pt idx="280">
                  <c:v>570.29493287228217</c:v>
                </c:pt>
                <c:pt idx="281">
                  <c:v>564.76697109030488</c:v>
                </c:pt>
                <c:pt idx="282">
                  <c:v>559.20676286459945</c:v>
                </c:pt>
                <c:pt idx="283">
                  <c:v>553.61412009091066</c:v>
                </c:pt>
                <c:pt idx="284">
                  <c:v>547.98885356770882</c:v>
                </c:pt>
                <c:pt idx="285">
                  <c:v>542.33077298978822</c:v>
                </c:pt>
                <c:pt idx="286">
                  <c:v>536.63968694182972</c:v>
                </c:pt>
                <c:pt idx="287">
                  <c:v>530.91540289192483</c:v>
                </c:pt>
                <c:pt idx="288">
                  <c:v>525.15772718506219</c:v>
                </c:pt>
                <c:pt idx="289">
                  <c:v>519.36646503657619</c:v>
                </c:pt>
                <c:pt idx="290">
                  <c:v>513.54142052555721</c:v>
                </c:pt>
                <c:pt idx="291">
                  <c:v>507.68239658822409</c:v>
                </c:pt>
                <c:pt idx="292">
                  <c:v>501.78919501125654</c:v>
                </c:pt>
                <c:pt idx="293">
                  <c:v>495.86161642509001</c:v>
                </c:pt>
                <c:pt idx="294">
                  <c:v>489.89946029717083</c:v>
                </c:pt>
                <c:pt idx="295">
                  <c:v>483.90252492517209</c:v>
                </c:pt>
                <c:pt idx="296">
                  <c:v>477.87060743017003</c:v>
                </c:pt>
                <c:pt idx="297">
                  <c:v>471.80350374978042</c:v>
                </c:pt>
                <c:pt idx="298">
                  <c:v>465.70100863125526</c:v>
                </c:pt>
                <c:pt idx="299">
                  <c:v>459.56291562453868</c:v>
                </c:pt>
                <c:pt idx="300">
                  <c:v>453.38901707528294</c:v>
                </c:pt>
                <c:pt idx="301">
                  <c:v>447.17910411782316</c:v>
                </c:pt>
                <c:pt idx="302">
                  <c:v>440.93296666811153</c:v>
                </c:pt>
                <c:pt idx="303">
                  <c:v>434.65039341660992</c:v>
                </c:pt>
                <c:pt idx="304">
                  <c:v>428.3311718211412</c:v>
                </c:pt>
                <c:pt idx="305">
                  <c:v>421.97508809969895</c:v>
                </c:pt>
                <c:pt idx="306">
                  <c:v>415.58192722321496</c:v>
                </c:pt>
                <c:pt idx="307">
                  <c:v>409.1514729082848</c:v>
                </c:pt>
                <c:pt idx="308">
                  <c:v>402.68350760985084</c:v>
                </c:pt>
                <c:pt idx="309">
                  <c:v>396.1778125138427</c:v>
                </c:pt>
                <c:pt idx="310">
                  <c:v>389.63416752977457</c:v>
                </c:pt>
                <c:pt idx="311">
                  <c:v>383.05235128329929</c:v>
                </c:pt>
                <c:pt idx="312">
                  <c:v>376.43214110871963</c:v>
                </c:pt>
                <c:pt idx="313">
                  <c:v>369.77331304145491</c:v>
                </c:pt>
                <c:pt idx="314">
                  <c:v>363.0756418104645</c:v>
                </c:pt>
                <c:pt idx="315">
                  <c:v>356.33890083062664</c:v>
                </c:pt>
                <c:pt idx="316">
                  <c:v>349.56286219507308</c:v>
                </c:pt>
                <c:pt idx="317">
                  <c:v>342.74729666747879</c:v>
                </c:pt>
                <c:pt idx="318">
                  <c:v>335.89197367430683</c:v>
                </c:pt>
                <c:pt idx="319">
                  <c:v>328.99666129700807</c:v>
                </c:pt>
                <c:pt idx="320">
                  <c:v>322.06112626417502</c:v>
                </c:pt>
                <c:pt idx="321">
                  <c:v>315.08513394365048</c:v>
                </c:pt>
                <c:pt idx="322">
                  <c:v>308.06844833458956</c:v>
                </c:pt>
                <c:pt idx="323">
                  <c:v>301.01083205947577</c:v>
                </c:pt>
                <c:pt idx="324">
                  <c:v>293.91204635609046</c:v>
                </c:pt>
                <c:pt idx="325">
                  <c:v>286.77185106943546</c:v>
                </c:pt>
                <c:pt idx="326">
                  <c:v>279.59000464360821</c:v>
                </c:pt>
                <c:pt idx="327">
                  <c:v>272.36626411363039</c:v>
                </c:pt>
                <c:pt idx="328">
                  <c:v>265.10038509722762</c:v>
                </c:pt>
                <c:pt idx="329">
                  <c:v>257.79212178656257</c:v>
                </c:pt>
                <c:pt idx="330">
                  <c:v>250.44122693991858</c:v>
                </c:pt>
                <c:pt idx="331">
                  <c:v>243.04745187333589</c:v>
                </c:pt>
                <c:pt idx="332">
                  <c:v>235.61054645219809</c:v>
                </c:pt>
                <c:pt idx="333">
                  <c:v>228.13025908277035</c:v>
                </c:pt>
                <c:pt idx="334">
                  <c:v>220.60633670368762</c:v>
                </c:pt>
                <c:pt idx="335">
                  <c:v>213.03852477739352</c:v>
                </c:pt>
                <c:pt idx="336">
                  <c:v>205.4265672815294</c:v>
                </c:pt>
                <c:pt idx="337">
                  <c:v>197.77020670027278</c:v>
                </c:pt>
                <c:pt idx="338">
                  <c:v>190.06918401562547</c:v>
                </c:pt>
                <c:pt idx="339">
                  <c:v>182.32323869865104</c:v>
                </c:pt>
                <c:pt idx="340">
                  <c:v>174.53210870066093</c:v>
                </c:pt>
                <c:pt idx="341">
                  <c:v>166.69553044434923</c:v>
                </c:pt>
                <c:pt idx="342">
                  <c:v>158.81323881487569</c:v>
                </c:pt>
                <c:pt idx="343">
                  <c:v>150.8849671508969</c:v>
                </c:pt>
                <c:pt idx="344">
                  <c:v>142.91044723554486</c:v>
                </c:pt>
                <c:pt idx="345">
                  <c:v>134.88940928735332</c:v>
                </c:pt>
                <c:pt idx="346">
                  <c:v>126.82158195113064</c:v>
                </c:pt>
                <c:pt idx="347">
                  <c:v>118.70669228877999</c:v>
                </c:pt>
                <c:pt idx="348">
                  <c:v>110.54446577006564</c:v>
                </c:pt>
                <c:pt idx="349">
                  <c:v>102.33462626332546</c:v>
                </c:pt>
                <c:pt idx="350">
                  <c:v>94.07689602612929</c:v>
                </c:pt>
                <c:pt idx="351">
                  <c:v>85.770995695882803</c:v>
                </c:pt>
                <c:pt idx="352">
                  <c:v>77.416644280376545</c:v>
                </c:pt>
                <c:pt idx="353">
                  <c:v>69.013559148279825</c:v>
                </c:pt>
                <c:pt idx="354">
                  <c:v>60.561456019579218</c:v>
                </c:pt>
                <c:pt idx="355">
                  <c:v>52.060048955961193</c:v>
                </c:pt>
                <c:pt idx="356">
                  <c:v>43.509050351138725</c:v>
                </c:pt>
                <c:pt idx="357">
                  <c:v>34.908170921121467</c:v>
                </c:pt>
                <c:pt idx="358">
                  <c:v>26.2571196944291</c:v>
                </c:pt>
                <c:pt idx="359">
                  <c:v>17.555604002247698</c:v>
                </c:pt>
                <c:pt idx="360">
                  <c:v>8.8033294685285721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5-48F0-BDFF-623251C3AB8A}"/>
            </c:ext>
          </c:extLst>
        </c:ser>
        <c:ser>
          <c:idx val="1"/>
          <c:order val="1"/>
          <c:tx>
            <c:strRef>
              <c:f>'Flujos Mensuales'!$E$13</c:f>
              <c:strCache>
                <c:ptCount val="1"/>
                <c:pt idx="0">
                  <c:v>Pago a Capital
Amortizacion
(va aumentando)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Mensuales'!$E$14:$E$374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187.01977406838364</c:v>
                </c:pt>
                <c:pt idx="2">
                  <c:v>188.11072275044921</c:v>
                </c:pt>
                <c:pt idx="3">
                  <c:v>189.20803529982686</c:v>
                </c:pt>
                <c:pt idx="4">
                  <c:v>190.31174883907579</c:v>
                </c:pt>
                <c:pt idx="5">
                  <c:v>191.42190070730362</c:v>
                </c:pt>
                <c:pt idx="6">
                  <c:v>192.53852846142945</c:v>
                </c:pt>
                <c:pt idx="7">
                  <c:v>193.66166987745441</c:v>
                </c:pt>
                <c:pt idx="8">
                  <c:v>194.79136295173953</c:v>
                </c:pt>
                <c:pt idx="9">
                  <c:v>195.92764590229149</c:v>
                </c:pt>
                <c:pt idx="10">
                  <c:v>197.07055717005483</c:v>
                </c:pt>
                <c:pt idx="11">
                  <c:v>198.22013542021341</c:v>
                </c:pt>
                <c:pt idx="12">
                  <c:v>199.37641954349806</c:v>
                </c:pt>
                <c:pt idx="13">
                  <c:v>200.53944865750168</c:v>
                </c:pt>
                <c:pt idx="14">
                  <c:v>201.70926210800394</c:v>
                </c:pt>
                <c:pt idx="15">
                  <c:v>202.8858994703005</c:v>
                </c:pt>
                <c:pt idx="16">
                  <c:v>204.06940055054383</c:v>
                </c:pt>
                <c:pt idx="17">
                  <c:v>205.25980538708882</c:v>
                </c:pt>
                <c:pt idx="18">
                  <c:v>206.45715425184676</c:v>
                </c:pt>
                <c:pt idx="19">
                  <c:v>207.66148765164917</c:v>
                </c:pt>
                <c:pt idx="20">
                  <c:v>208.872846329617</c:v>
                </c:pt>
                <c:pt idx="21">
                  <c:v>210.09127126653971</c:v>
                </c:pt>
                <c:pt idx="22">
                  <c:v>211.31680368226125</c:v>
                </c:pt>
                <c:pt idx="23">
                  <c:v>212.54948503707465</c:v>
                </c:pt>
                <c:pt idx="24">
                  <c:v>213.78935703312413</c:v>
                </c:pt>
                <c:pt idx="25">
                  <c:v>215.03646161581742</c:v>
                </c:pt>
                <c:pt idx="26">
                  <c:v>216.29084097524287</c:v>
                </c:pt>
                <c:pt idx="27">
                  <c:v>217.5525375475986</c:v>
                </c:pt>
                <c:pt idx="28">
                  <c:v>218.82159401662625</c:v>
                </c:pt>
                <c:pt idx="29">
                  <c:v>220.09805331505663</c:v>
                </c:pt>
                <c:pt idx="30">
                  <c:v>221.38195862606108</c:v>
                </c:pt>
                <c:pt idx="31">
                  <c:v>222.67335338471298</c:v>
                </c:pt>
                <c:pt idx="32">
                  <c:v>223.97228127945709</c:v>
                </c:pt>
                <c:pt idx="33">
                  <c:v>225.27878625358721</c:v>
                </c:pt>
                <c:pt idx="34">
                  <c:v>226.59291250673323</c:v>
                </c:pt>
                <c:pt idx="35">
                  <c:v>227.91470449635585</c:v>
                </c:pt>
                <c:pt idx="36">
                  <c:v>229.24420693925117</c:v>
                </c:pt>
                <c:pt idx="37">
                  <c:v>230.58146481306358</c:v>
                </c:pt>
                <c:pt idx="38">
                  <c:v>231.92652335780622</c:v>
                </c:pt>
                <c:pt idx="39">
                  <c:v>233.2794280773935</c:v>
                </c:pt>
                <c:pt idx="40">
                  <c:v>234.64022474117837</c:v>
                </c:pt>
                <c:pt idx="41">
                  <c:v>236.00895938550184</c:v>
                </c:pt>
                <c:pt idx="42">
                  <c:v>237.38567831525074</c:v>
                </c:pt>
                <c:pt idx="43">
                  <c:v>238.77042810542298</c:v>
                </c:pt>
                <c:pt idx="44">
                  <c:v>240.16325560270479</c:v>
                </c:pt>
                <c:pt idx="45">
                  <c:v>241.56420792705376</c:v>
                </c:pt>
                <c:pt idx="46">
                  <c:v>242.97333247329493</c:v>
                </c:pt>
                <c:pt idx="47">
                  <c:v>244.39067691272248</c:v>
                </c:pt>
                <c:pt idx="48">
                  <c:v>245.81628919471336</c:v>
                </c:pt>
                <c:pt idx="49">
                  <c:v>247.25021754834916</c:v>
                </c:pt>
                <c:pt idx="50">
                  <c:v>248.69251048404794</c:v>
                </c:pt>
                <c:pt idx="51">
                  <c:v>250.14321679520481</c:v>
                </c:pt>
                <c:pt idx="52">
                  <c:v>251.60238555984347</c:v>
                </c:pt>
                <c:pt idx="53">
                  <c:v>253.07006614227589</c:v>
                </c:pt>
                <c:pt idx="54">
                  <c:v>254.54630819477256</c:v>
                </c:pt>
                <c:pt idx="55">
                  <c:v>256.03116165924212</c:v>
                </c:pt>
                <c:pt idx="56">
                  <c:v>257.52467676892115</c:v>
                </c:pt>
                <c:pt idx="57">
                  <c:v>259.0269040500732</c:v>
                </c:pt>
                <c:pt idx="58">
                  <c:v>260.53789432369854</c:v>
                </c:pt>
                <c:pt idx="59">
                  <c:v>262.05769870725362</c:v>
                </c:pt>
                <c:pt idx="60">
                  <c:v>263.5863686163791</c:v>
                </c:pt>
                <c:pt idx="61">
                  <c:v>265.1239557666413</c:v>
                </c:pt>
                <c:pt idx="62">
                  <c:v>266.67051217528001</c:v>
                </c:pt>
                <c:pt idx="63">
                  <c:v>268.22609016296929</c:v>
                </c:pt>
                <c:pt idx="64">
                  <c:v>269.79074235558642</c:v>
                </c:pt>
                <c:pt idx="65">
                  <c:v>271.36452168599408</c:v>
                </c:pt>
                <c:pt idx="66">
                  <c:v>272.94748139582885</c:v>
                </c:pt>
                <c:pt idx="67">
                  <c:v>274.53967503730451</c:v>
                </c:pt>
                <c:pt idx="68">
                  <c:v>276.14115647502217</c:v>
                </c:pt>
                <c:pt idx="69">
                  <c:v>277.75197988779314</c:v>
                </c:pt>
                <c:pt idx="70">
                  <c:v>279.37219977047221</c:v>
                </c:pt>
                <c:pt idx="71">
                  <c:v>281.00187093579984</c:v>
                </c:pt>
                <c:pt idx="72">
                  <c:v>282.64104851625871</c:v>
                </c:pt>
                <c:pt idx="73">
                  <c:v>284.28978796593697</c:v>
                </c:pt>
                <c:pt idx="74">
                  <c:v>285.94814506240505</c:v>
                </c:pt>
                <c:pt idx="75">
                  <c:v>287.61617590860237</c:v>
                </c:pt>
                <c:pt idx="76">
                  <c:v>289.29393693473571</c:v>
                </c:pt>
                <c:pt idx="77">
                  <c:v>290.98148490018843</c:v>
                </c:pt>
                <c:pt idx="78">
                  <c:v>292.67887689543954</c:v>
                </c:pt>
                <c:pt idx="79">
                  <c:v>294.38617034399613</c:v>
                </c:pt>
                <c:pt idx="80">
                  <c:v>296.10342300433604</c:v>
                </c:pt>
                <c:pt idx="81">
                  <c:v>297.83069297186148</c:v>
                </c:pt>
                <c:pt idx="82">
                  <c:v>299.56803868086376</c:v>
                </c:pt>
                <c:pt idx="83">
                  <c:v>301.31551890650212</c:v>
                </c:pt>
                <c:pt idx="84">
                  <c:v>303.07319276679027</c:v>
                </c:pt>
                <c:pt idx="85">
                  <c:v>304.84111972459641</c:v>
                </c:pt>
                <c:pt idx="86">
                  <c:v>306.6193595896566</c:v>
                </c:pt>
                <c:pt idx="87">
                  <c:v>308.4079725205961</c:v>
                </c:pt>
                <c:pt idx="88">
                  <c:v>310.20701902696624</c:v>
                </c:pt>
                <c:pt idx="89">
                  <c:v>312.01655997129023</c:v>
                </c:pt>
                <c:pt idx="90">
                  <c:v>313.83665657112283</c:v>
                </c:pt>
                <c:pt idx="91">
                  <c:v>315.66737040112116</c:v>
                </c:pt>
                <c:pt idx="92">
                  <c:v>317.50876339512752</c:v>
                </c:pt>
                <c:pt idx="93">
                  <c:v>319.36089784826595</c:v>
                </c:pt>
                <c:pt idx="94">
                  <c:v>321.22383641904753</c:v>
                </c:pt>
                <c:pt idx="95">
                  <c:v>323.09764213149197</c:v>
                </c:pt>
                <c:pt idx="96">
                  <c:v>324.98237837725901</c:v>
                </c:pt>
                <c:pt idx="97">
                  <c:v>326.87810891779304</c:v>
                </c:pt>
                <c:pt idx="98">
                  <c:v>328.78489788648017</c:v>
                </c:pt>
                <c:pt idx="99">
                  <c:v>330.70280979081804</c:v>
                </c:pt>
                <c:pt idx="100">
                  <c:v>332.63190951459774</c:v>
                </c:pt>
                <c:pt idx="101">
                  <c:v>334.57226232009953</c:v>
                </c:pt>
                <c:pt idx="102">
                  <c:v>336.52393385029995</c:v>
                </c:pt>
                <c:pt idx="103">
                  <c:v>338.48699013109331</c:v>
                </c:pt>
                <c:pt idx="104">
                  <c:v>340.46149757352464</c:v>
                </c:pt>
                <c:pt idx="105">
                  <c:v>342.44752297603691</c:v>
                </c:pt>
                <c:pt idx="106">
                  <c:v>344.44513352673061</c:v>
                </c:pt>
                <c:pt idx="107">
                  <c:v>346.45439680563641</c:v>
                </c:pt>
                <c:pt idx="108">
                  <c:v>348.47538078700268</c:v>
                </c:pt>
                <c:pt idx="109">
                  <c:v>350.50815384159364</c:v>
                </c:pt>
                <c:pt idx="110">
                  <c:v>352.55278473900285</c:v>
                </c:pt>
                <c:pt idx="111">
                  <c:v>354.60934264998036</c:v>
                </c:pt>
                <c:pt idx="112">
                  <c:v>356.67789714877199</c:v>
                </c:pt>
                <c:pt idx="113">
                  <c:v>358.75851821547303</c:v>
                </c:pt>
                <c:pt idx="114">
                  <c:v>360.85127623839662</c:v>
                </c:pt>
                <c:pt idx="115">
                  <c:v>362.95624201645387</c:v>
                </c:pt>
                <c:pt idx="116">
                  <c:v>365.07348676154993</c:v>
                </c:pt>
                <c:pt idx="117">
                  <c:v>367.20308210099233</c:v>
                </c:pt>
                <c:pt idx="118">
                  <c:v>369.3451000799148</c:v>
                </c:pt>
                <c:pt idx="119">
                  <c:v>371.49961316371423</c:v>
                </c:pt>
                <c:pt idx="120">
                  <c:v>373.66669424050247</c:v>
                </c:pt>
                <c:pt idx="121">
                  <c:v>375.84641662357217</c:v>
                </c:pt>
                <c:pt idx="122">
                  <c:v>378.03885405387632</c:v>
                </c:pt>
                <c:pt idx="123">
                  <c:v>380.24408070252389</c:v>
                </c:pt>
                <c:pt idx="124">
                  <c:v>382.46217117328843</c:v>
                </c:pt>
                <c:pt idx="125">
                  <c:v>384.69320050513261</c:v>
                </c:pt>
                <c:pt idx="126">
                  <c:v>386.93724417474596</c:v>
                </c:pt>
                <c:pt idx="127">
                  <c:v>389.19437809909869</c:v>
                </c:pt>
                <c:pt idx="128">
                  <c:v>391.4646786380099</c:v>
                </c:pt>
                <c:pt idx="129">
                  <c:v>393.74822259673169</c:v>
                </c:pt>
                <c:pt idx="130">
                  <c:v>396.04508722854598</c:v>
                </c:pt>
                <c:pt idx="131">
                  <c:v>398.35535023737907</c:v>
                </c:pt>
                <c:pt idx="132">
                  <c:v>400.67908978043056</c:v>
                </c:pt>
                <c:pt idx="133">
                  <c:v>403.01638447081632</c:v>
                </c:pt>
                <c:pt idx="134">
                  <c:v>405.36731338022946</c:v>
                </c:pt>
                <c:pt idx="135">
                  <c:v>407.73195604161424</c:v>
                </c:pt>
                <c:pt idx="136">
                  <c:v>410.11039245185702</c:v>
                </c:pt>
                <c:pt idx="137">
                  <c:v>412.50270307449296</c:v>
                </c:pt>
                <c:pt idx="138">
                  <c:v>414.90896884242738</c:v>
                </c:pt>
                <c:pt idx="139">
                  <c:v>417.32927116067481</c:v>
                </c:pt>
                <c:pt idx="140">
                  <c:v>419.76369190911214</c:v>
                </c:pt>
                <c:pt idx="141">
                  <c:v>422.21231344524858</c:v>
                </c:pt>
                <c:pt idx="142">
                  <c:v>424.67521860701254</c:v>
                </c:pt>
                <c:pt idx="143">
                  <c:v>427.15249071555354</c:v>
                </c:pt>
                <c:pt idx="144">
                  <c:v>429.64421357806077</c:v>
                </c:pt>
                <c:pt idx="145">
                  <c:v>432.15047149059956</c:v>
                </c:pt>
                <c:pt idx="146">
                  <c:v>434.67134924096149</c:v>
                </c:pt>
                <c:pt idx="147">
                  <c:v>437.20693211153366</c:v>
                </c:pt>
                <c:pt idx="148">
                  <c:v>439.75730588218426</c:v>
                </c:pt>
                <c:pt idx="149">
                  <c:v>442.32255683316362</c:v>
                </c:pt>
                <c:pt idx="150">
                  <c:v>444.90277174802372</c:v>
                </c:pt>
                <c:pt idx="151">
                  <c:v>447.49803791655381</c:v>
                </c:pt>
                <c:pt idx="152">
                  <c:v>450.10844313773373</c:v>
                </c:pt>
                <c:pt idx="153">
                  <c:v>452.73407572270366</c:v>
                </c:pt>
                <c:pt idx="154">
                  <c:v>455.37502449775275</c:v>
                </c:pt>
                <c:pt idx="155">
                  <c:v>458.03137880732288</c:v>
                </c:pt>
                <c:pt idx="156">
                  <c:v>460.70322851703236</c:v>
                </c:pt>
                <c:pt idx="157">
                  <c:v>463.39066401671494</c:v>
                </c:pt>
                <c:pt idx="158">
                  <c:v>466.09377622347915</c:v>
                </c:pt>
                <c:pt idx="159">
                  <c:v>468.81265658478264</c:v>
                </c:pt>
                <c:pt idx="160">
                  <c:v>471.54739708152738</c:v>
                </c:pt>
                <c:pt idx="161">
                  <c:v>474.29809023116968</c:v>
                </c:pt>
                <c:pt idx="162">
                  <c:v>477.06482909085139</c:v>
                </c:pt>
                <c:pt idx="163">
                  <c:v>479.84770726054808</c:v>
                </c:pt>
                <c:pt idx="164">
                  <c:v>482.64681888623454</c:v>
                </c:pt>
                <c:pt idx="165">
                  <c:v>485.462258663071</c:v>
                </c:pt>
                <c:pt idx="166">
                  <c:v>488.29412183860541</c:v>
                </c:pt>
                <c:pt idx="167">
                  <c:v>491.14250421599741</c:v>
                </c:pt>
                <c:pt idx="168">
                  <c:v>494.00750215725736</c:v>
                </c:pt>
                <c:pt idx="169">
                  <c:v>496.88921258650805</c:v>
                </c:pt>
                <c:pt idx="170">
                  <c:v>499.78773299326269</c:v>
                </c:pt>
                <c:pt idx="171">
                  <c:v>502.70316143572336</c:v>
                </c:pt>
                <c:pt idx="172">
                  <c:v>505.63559654409846</c:v>
                </c:pt>
                <c:pt idx="173">
                  <c:v>508.58513752393901</c:v>
                </c:pt>
                <c:pt idx="174">
                  <c:v>511.55188415949533</c:v>
                </c:pt>
                <c:pt idx="175">
                  <c:v>514.53593681709242</c:v>
                </c:pt>
                <c:pt idx="176">
                  <c:v>517.53739644852544</c:v>
                </c:pt>
                <c:pt idx="177">
                  <c:v>520.55636459447521</c:v>
                </c:pt>
                <c:pt idx="178">
                  <c:v>523.59294338794291</c:v>
                </c:pt>
                <c:pt idx="179">
                  <c:v>526.64723555770593</c:v>
                </c:pt>
                <c:pt idx="180">
                  <c:v>529.71934443179248</c:v>
                </c:pt>
                <c:pt idx="181">
                  <c:v>532.80937394097805</c:v>
                </c:pt>
                <c:pt idx="182">
                  <c:v>535.91742862230035</c:v>
                </c:pt>
                <c:pt idx="183">
                  <c:v>539.04361362259726</c:v>
                </c:pt>
                <c:pt idx="184">
                  <c:v>542.1880347020624</c:v>
                </c:pt>
                <c:pt idx="185">
                  <c:v>545.35079823782439</c:v>
                </c:pt>
                <c:pt idx="186">
                  <c:v>548.53201122754513</c:v>
                </c:pt>
                <c:pt idx="187">
                  <c:v>551.73178129303915</c:v>
                </c:pt>
                <c:pt idx="188">
                  <c:v>554.95021668391507</c:v>
                </c:pt>
                <c:pt idx="189">
                  <c:v>558.18742628123789</c:v>
                </c:pt>
                <c:pt idx="190">
                  <c:v>561.44351960121185</c:v>
                </c:pt>
                <c:pt idx="191">
                  <c:v>564.71860679888562</c:v>
                </c:pt>
                <c:pt idx="192">
                  <c:v>568.01279867187907</c:v>
                </c:pt>
                <c:pt idx="193">
                  <c:v>571.32620666413175</c:v>
                </c:pt>
                <c:pt idx="194">
                  <c:v>574.65894286967239</c:v>
                </c:pt>
                <c:pt idx="195">
                  <c:v>578.01112003641208</c:v>
                </c:pt>
                <c:pt idx="196">
                  <c:v>581.38285156995789</c:v>
                </c:pt>
                <c:pt idx="197">
                  <c:v>584.77425153744935</c:v>
                </c:pt>
                <c:pt idx="198">
                  <c:v>588.18543467141785</c:v>
                </c:pt>
                <c:pt idx="199">
                  <c:v>591.61651637366776</c:v>
                </c:pt>
                <c:pt idx="200">
                  <c:v>595.06761271918083</c:v>
                </c:pt>
                <c:pt idx="201">
                  <c:v>598.53884046004271</c:v>
                </c:pt>
                <c:pt idx="202">
                  <c:v>602.0303170293929</c:v>
                </c:pt>
                <c:pt idx="203">
                  <c:v>605.54216054539768</c:v>
                </c:pt>
                <c:pt idx="204">
                  <c:v>609.07448981524578</c:v>
                </c:pt>
                <c:pt idx="205">
                  <c:v>612.6274243391681</c:v>
                </c:pt>
                <c:pt idx="206">
                  <c:v>616.20108431447989</c:v>
                </c:pt>
                <c:pt idx="207">
                  <c:v>619.79559063964768</c:v>
                </c:pt>
                <c:pt idx="208">
                  <c:v>623.41106491837888</c:v>
                </c:pt>
                <c:pt idx="209">
                  <c:v>627.04762946373614</c:v>
                </c:pt>
                <c:pt idx="210">
                  <c:v>630.70540730227469</c:v>
                </c:pt>
                <c:pt idx="211">
                  <c:v>634.38452217820463</c:v>
                </c:pt>
                <c:pt idx="212">
                  <c:v>638.08509855757745</c:v>
                </c:pt>
                <c:pt idx="213">
                  <c:v>641.80726163249676</c:v>
                </c:pt>
                <c:pt idx="214">
                  <c:v>645.5511373253529</c:v>
                </c:pt>
                <c:pt idx="215">
                  <c:v>649.31685229308414</c:v>
                </c:pt>
                <c:pt idx="216">
                  <c:v>653.10453393146054</c:v>
                </c:pt>
                <c:pt idx="217">
                  <c:v>656.91431037939412</c:v>
                </c:pt>
                <c:pt idx="218">
                  <c:v>660.74631052327391</c:v>
                </c:pt>
                <c:pt idx="219">
                  <c:v>664.60066400132632</c:v>
                </c:pt>
                <c:pt idx="220">
                  <c:v>668.47750120800083</c:v>
                </c:pt>
                <c:pt idx="221">
                  <c:v>672.37695329838073</c:v>
                </c:pt>
                <c:pt idx="222">
                  <c:v>676.29915219262125</c:v>
                </c:pt>
                <c:pt idx="223">
                  <c:v>680.24423058041157</c:v>
                </c:pt>
                <c:pt idx="224">
                  <c:v>684.21232192546393</c:v>
                </c:pt>
                <c:pt idx="225">
                  <c:v>688.20356047002917</c:v>
                </c:pt>
                <c:pt idx="226">
                  <c:v>692.21808123943765</c:v>
                </c:pt>
                <c:pt idx="227">
                  <c:v>696.25602004666769</c:v>
                </c:pt>
                <c:pt idx="228">
                  <c:v>700.3175134969398</c:v>
                </c:pt>
                <c:pt idx="229">
                  <c:v>704.40269899233863</c:v>
                </c:pt>
                <c:pt idx="230">
                  <c:v>708.5117147364607</c:v>
                </c:pt>
                <c:pt idx="231">
                  <c:v>712.64469973909002</c:v>
                </c:pt>
                <c:pt idx="232">
                  <c:v>716.80179382090137</c:v>
                </c:pt>
                <c:pt idx="233">
                  <c:v>720.98313761818997</c:v>
                </c:pt>
                <c:pt idx="234">
                  <c:v>725.18887258762936</c:v>
                </c:pt>
                <c:pt idx="235">
                  <c:v>729.41914101105726</c:v>
                </c:pt>
                <c:pt idx="236">
                  <c:v>733.67408600028841</c:v>
                </c:pt>
                <c:pt idx="237">
                  <c:v>737.95385150195671</c:v>
                </c:pt>
                <c:pt idx="238">
                  <c:v>742.25858230238475</c:v>
                </c:pt>
                <c:pt idx="239">
                  <c:v>746.58842403248207</c:v>
                </c:pt>
                <c:pt idx="240">
                  <c:v>750.94352317267158</c:v>
                </c:pt>
                <c:pt idx="241">
                  <c:v>755.32402705784557</c:v>
                </c:pt>
                <c:pt idx="242">
                  <c:v>759.73008388234962</c:v>
                </c:pt>
                <c:pt idx="243">
                  <c:v>764.16184270499662</c:v>
                </c:pt>
                <c:pt idx="244">
                  <c:v>768.61945345410902</c:v>
                </c:pt>
                <c:pt idx="245">
                  <c:v>773.10306693259145</c:v>
                </c:pt>
                <c:pt idx="246">
                  <c:v>777.61283482303145</c:v>
                </c:pt>
                <c:pt idx="247">
                  <c:v>782.14890969283249</c:v>
                </c:pt>
                <c:pt idx="248">
                  <c:v>786.71144499937395</c:v>
                </c:pt>
                <c:pt idx="249">
                  <c:v>791.30059509520356</c:v>
                </c:pt>
                <c:pt idx="250">
                  <c:v>795.91651523325902</c:v>
                </c:pt>
                <c:pt idx="251">
                  <c:v>800.55936157211966</c:v>
                </c:pt>
                <c:pt idx="252">
                  <c:v>805.22929118129036</c:v>
                </c:pt>
                <c:pt idx="253">
                  <c:v>809.92646204651442</c:v>
                </c:pt>
                <c:pt idx="254">
                  <c:v>814.65103307511913</c:v>
                </c:pt>
                <c:pt idx="255">
                  <c:v>819.40316410139064</c:v>
                </c:pt>
                <c:pt idx="256">
                  <c:v>824.18301589198211</c:v>
                </c:pt>
                <c:pt idx="257">
                  <c:v>828.9907501513519</c:v>
                </c:pt>
                <c:pt idx="258">
                  <c:v>833.82652952723481</c:v>
                </c:pt>
                <c:pt idx="259">
                  <c:v>838.69051761614367</c:v>
                </c:pt>
                <c:pt idx="260">
                  <c:v>843.58287896890442</c:v>
                </c:pt>
                <c:pt idx="261">
                  <c:v>848.50377909622307</c:v>
                </c:pt>
                <c:pt idx="262">
                  <c:v>853.45338447428435</c:v>
                </c:pt>
                <c:pt idx="263">
                  <c:v>858.43186255038438</c:v>
                </c:pt>
                <c:pt idx="264">
                  <c:v>863.43938174859488</c:v>
                </c:pt>
                <c:pt idx="265">
                  <c:v>868.47611147546172</c:v>
                </c:pt>
                <c:pt idx="266">
                  <c:v>873.54222212573529</c:v>
                </c:pt>
                <c:pt idx="267">
                  <c:v>878.63788508813536</c:v>
                </c:pt>
                <c:pt idx="268">
                  <c:v>883.76327275114954</c:v>
                </c:pt>
                <c:pt idx="269">
                  <c:v>888.91855850886452</c:v>
                </c:pt>
                <c:pt idx="270">
                  <c:v>894.10391676683298</c:v>
                </c:pt>
                <c:pt idx="271">
                  <c:v>899.31952294797281</c:v>
                </c:pt>
                <c:pt idx="272">
                  <c:v>904.56555349850271</c:v>
                </c:pt>
                <c:pt idx="273">
                  <c:v>909.8421858939106</c:v>
                </c:pt>
                <c:pt idx="274">
                  <c:v>915.14959864495847</c:v>
                </c:pt>
                <c:pt idx="275">
                  <c:v>920.48797130372066</c:v>
                </c:pt>
                <c:pt idx="276">
                  <c:v>925.85748446965908</c:v>
                </c:pt>
                <c:pt idx="277">
                  <c:v>931.25831979573206</c:v>
                </c:pt>
                <c:pt idx="278">
                  <c:v>936.69065999454051</c:v>
                </c:pt>
                <c:pt idx="279">
                  <c:v>942.15468884450866</c:v>
                </c:pt>
                <c:pt idx="280">
                  <c:v>947.65059119610157</c:v>
                </c:pt>
                <c:pt idx="281">
                  <c:v>953.17855297807887</c:v>
                </c:pt>
                <c:pt idx="282">
                  <c:v>958.73876120378429</c:v>
                </c:pt>
                <c:pt idx="283">
                  <c:v>964.33140397747309</c:v>
                </c:pt>
                <c:pt idx="284">
                  <c:v>969.95667050067493</c:v>
                </c:pt>
                <c:pt idx="285">
                  <c:v>975.61475107859553</c:v>
                </c:pt>
                <c:pt idx="286">
                  <c:v>981.30583712655402</c:v>
                </c:pt>
                <c:pt idx="287">
                  <c:v>987.03012117645892</c:v>
                </c:pt>
                <c:pt idx="288">
                  <c:v>992.78779688332156</c:v>
                </c:pt>
                <c:pt idx="289">
                  <c:v>998.57905903180756</c:v>
                </c:pt>
                <c:pt idx="290">
                  <c:v>1004.4041035428265</c:v>
                </c:pt>
                <c:pt idx="291">
                  <c:v>1010.2631274801597</c:v>
                </c:pt>
                <c:pt idx="292">
                  <c:v>1016.1563290571272</c:v>
                </c:pt>
                <c:pt idx="293">
                  <c:v>1022.0839076432937</c:v>
                </c:pt>
                <c:pt idx="294">
                  <c:v>1028.0460637712129</c:v>
                </c:pt>
                <c:pt idx="295">
                  <c:v>1034.0429991432115</c:v>
                </c:pt>
                <c:pt idx="296">
                  <c:v>1040.0749166382138</c:v>
                </c:pt>
                <c:pt idx="297">
                  <c:v>1046.1420203186033</c:v>
                </c:pt>
                <c:pt idx="298">
                  <c:v>1052.2445154371285</c:v>
                </c:pt>
                <c:pt idx="299">
                  <c:v>1058.3826084438451</c:v>
                </c:pt>
                <c:pt idx="300">
                  <c:v>1064.5565069931008</c:v>
                </c:pt>
                <c:pt idx="301">
                  <c:v>1070.7664199505607</c:v>
                </c:pt>
                <c:pt idx="302">
                  <c:v>1077.0125574002723</c:v>
                </c:pt>
                <c:pt idx="303">
                  <c:v>1083.2951306517739</c:v>
                </c:pt>
                <c:pt idx="304">
                  <c:v>1089.6143522472426</c:v>
                </c:pt>
                <c:pt idx="305">
                  <c:v>1095.9704359686848</c:v>
                </c:pt>
                <c:pt idx="306">
                  <c:v>1102.3635968451688</c:v>
                </c:pt>
                <c:pt idx="307">
                  <c:v>1108.7940511600989</c:v>
                </c:pt>
                <c:pt idx="308">
                  <c:v>1115.2620164585328</c:v>
                </c:pt>
                <c:pt idx="309">
                  <c:v>1121.7677115545412</c:v>
                </c:pt>
                <c:pt idx="310">
                  <c:v>1128.3113565386093</c:v>
                </c:pt>
                <c:pt idx="311">
                  <c:v>1134.8931727850845</c:v>
                </c:pt>
                <c:pt idx="312">
                  <c:v>1141.5133829596641</c:v>
                </c:pt>
                <c:pt idx="313">
                  <c:v>1148.1722110269288</c:v>
                </c:pt>
                <c:pt idx="314">
                  <c:v>1154.8698822579192</c:v>
                </c:pt>
                <c:pt idx="315">
                  <c:v>1161.606623237757</c:v>
                </c:pt>
                <c:pt idx="316">
                  <c:v>1168.3826618733106</c:v>
                </c:pt>
                <c:pt idx="317">
                  <c:v>1175.1982274009049</c:v>
                </c:pt>
                <c:pt idx="318">
                  <c:v>1182.0535503940769</c:v>
                </c:pt>
                <c:pt idx="319">
                  <c:v>1188.9488627713756</c:v>
                </c:pt>
                <c:pt idx="320">
                  <c:v>1195.8843978042087</c:v>
                </c:pt>
                <c:pt idx="321">
                  <c:v>1202.8603901247334</c:v>
                </c:pt>
                <c:pt idx="322">
                  <c:v>1209.8770757337943</c:v>
                </c:pt>
                <c:pt idx="323">
                  <c:v>1216.9346920089079</c:v>
                </c:pt>
                <c:pt idx="324">
                  <c:v>1224.0334777122932</c:v>
                </c:pt>
                <c:pt idx="325">
                  <c:v>1231.1736729989484</c:v>
                </c:pt>
                <c:pt idx="326">
                  <c:v>1238.3555194247756</c:v>
                </c:pt>
                <c:pt idx="327">
                  <c:v>1245.5792599547533</c:v>
                </c:pt>
                <c:pt idx="328">
                  <c:v>1252.8451389711561</c:v>
                </c:pt>
                <c:pt idx="329">
                  <c:v>1260.1534022818212</c:v>
                </c:pt>
                <c:pt idx="330">
                  <c:v>1267.5042971284652</c:v>
                </c:pt>
                <c:pt idx="331">
                  <c:v>1274.8980721950479</c:v>
                </c:pt>
                <c:pt idx="332">
                  <c:v>1282.3349776161856</c:v>
                </c:pt>
                <c:pt idx="333">
                  <c:v>1289.8152649856133</c:v>
                </c:pt>
                <c:pt idx="334">
                  <c:v>1297.339187364696</c:v>
                </c:pt>
                <c:pt idx="335">
                  <c:v>1304.9069992909901</c:v>
                </c:pt>
                <c:pt idx="336">
                  <c:v>1312.5189567868542</c:v>
                </c:pt>
                <c:pt idx="337">
                  <c:v>1320.1753173681109</c:v>
                </c:pt>
                <c:pt idx="338">
                  <c:v>1327.8763400527582</c:v>
                </c:pt>
                <c:pt idx="339">
                  <c:v>1335.6222853697327</c:v>
                </c:pt>
                <c:pt idx="340">
                  <c:v>1343.4134153677228</c:v>
                </c:pt>
                <c:pt idx="341">
                  <c:v>1351.2499936240345</c:v>
                </c:pt>
                <c:pt idx="342">
                  <c:v>1359.1322852535081</c:v>
                </c:pt>
                <c:pt idx="343">
                  <c:v>1367.0605569174868</c:v>
                </c:pt>
                <c:pt idx="344">
                  <c:v>1375.035076832839</c:v>
                </c:pt>
                <c:pt idx="345">
                  <c:v>1383.0561147810304</c:v>
                </c:pt>
                <c:pt idx="346">
                  <c:v>1391.1239421172531</c:v>
                </c:pt>
                <c:pt idx="347">
                  <c:v>1399.2388317796037</c:v>
                </c:pt>
                <c:pt idx="348">
                  <c:v>1407.401058298318</c:v>
                </c:pt>
                <c:pt idx="349">
                  <c:v>1415.6108978050584</c:v>
                </c:pt>
                <c:pt idx="350">
                  <c:v>1423.8686280422544</c:v>
                </c:pt>
                <c:pt idx="351">
                  <c:v>1432.1745283725008</c:v>
                </c:pt>
                <c:pt idx="352">
                  <c:v>1440.5288797880071</c:v>
                </c:pt>
                <c:pt idx="353">
                  <c:v>1448.9319649201038</c:v>
                </c:pt>
                <c:pt idx="354">
                  <c:v>1457.3840680488045</c:v>
                </c:pt>
                <c:pt idx="355">
                  <c:v>1465.8854751124225</c:v>
                </c:pt>
                <c:pt idx="356">
                  <c:v>1474.436473717245</c:v>
                </c:pt>
                <c:pt idx="357">
                  <c:v>1483.0373531472624</c:v>
                </c:pt>
                <c:pt idx="358">
                  <c:v>1491.6884043739547</c:v>
                </c:pt>
                <c:pt idx="359">
                  <c:v>1500.389920066136</c:v>
                </c:pt>
                <c:pt idx="360">
                  <c:v>1509.1421945998552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5-48F0-BDFF-623251C3AB8A}"/>
            </c:ext>
          </c:extLst>
        </c:ser>
        <c:ser>
          <c:idx val="2"/>
          <c:order val="2"/>
          <c:tx>
            <c:strRef>
              <c:f>'Flujos Mensuales'!$H$13</c:f>
              <c:strCache>
                <c:ptCount val="1"/>
                <c:pt idx="0">
                  <c:v>Impuestos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Mensuales'!$H$14:$H$374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349.68290824885821</c:v>
                </c:pt>
                <c:pt idx="2">
                  <c:v>349.68290824885821</c:v>
                </c:pt>
                <c:pt idx="3">
                  <c:v>349.68290824885821</c:v>
                </c:pt>
                <c:pt idx="4">
                  <c:v>349.68290824885821</c:v>
                </c:pt>
                <c:pt idx="5">
                  <c:v>349.68290824885821</c:v>
                </c:pt>
                <c:pt idx="6">
                  <c:v>349.68290824885821</c:v>
                </c:pt>
                <c:pt idx="7">
                  <c:v>349.68290824885821</c:v>
                </c:pt>
                <c:pt idx="8">
                  <c:v>349.68290824885821</c:v>
                </c:pt>
                <c:pt idx="9">
                  <c:v>349.68290824885821</c:v>
                </c:pt>
                <c:pt idx="10">
                  <c:v>349.68290824885821</c:v>
                </c:pt>
                <c:pt idx="11">
                  <c:v>349.68290824885821</c:v>
                </c:pt>
                <c:pt idx="12">
                  <c:v>352.08456167908804</c:v>
                </c:pt>
                <c:pt idx="13">
                  <c:v>352.08456167908804</c:v>
                </c:pt>
                <c:pt idx="14">
                  <c:v>352.08456167908804</c:v>
                </c:pt>
                <c:pt idx="15">
                  <c:v>352.08456167908804</c:v>
                </c:pt>
                <c:pt idx="16">
                  <c:v>352.08456167908804</c:v>
                </c:pt>
                <c:pt idx="17">
                  <c:v>352.08456167908804</c:v>
                </c:pt>
                <c:pt idx="18">
                  <c:v>352.08456167908804</c:v>
                </c:pt>
                <c:pt idx="19">
                  <c:v>352.08456167908804</c:v>
                </c:pt>
                <c:pt idx="20">
                  <c:v>352.08456167908804</c:v>
                </c:pt>
                <c:pt idx="21">
                  <c:v>352.08456167908804</c:v>
                </c:pt>
                <c:pt idx="22">
                  <c:v>352.08456167908804</c:v>
                </c:pt>
                <c:pt idx="23">
                  <c:v>352.08456167908804</c:v>
                </c:pt>
                <c:pt idx="24">
                  <c:v>354.50270987947351</c:v>
                </c:pt>
                <c:pt idx="25">
                  <c:v>354.50270987947351</c:v>
                </c:pt>
                <c:pt idx="26">
                  <c:v>354.50270987947351</c:v>
                </c:pt>
                <c:pt idx="27">
                  <c:v>354.50270987947351</c:v>
                </c:pt>
                <c:pt idx="28">
                  <c:v>354.50270987947351</c:v>
                </c:pt>
                <c:pt idx="29">
                  <c:v>354.50270987947351</c:v>
                </c:pt>
                <c:pt idx="30">
                  <c:v>354.50270987947351</c:v>
                </c:pt>
                <c:pt idx="31">
                  <c:v>354.50270987947351</c:v>
                </c:pt>
                <c:pt idx="32">
                  <c:v>354.50270987947351</c:v>
                </c:pt>
                <c:pt idx="33">
                  <c:v>354.50270987947351</c:v>
                </c:pt>
                <c:pt idx="34">
                  <c:v>354.50270987947351</c:v>
                </c:pt>
                <c:pt idx="35">
                  <c:v>354.50270987947351</c:v>
                </c:pt>
                <c:pt idx="36">
                  <c:v>356.93746613756866</c:v>
                </c:pt>
                <c:pt idx="37">
                  <c:v>356.93746613756866</c:v>
                </c:pt>
                <c:pt idx="38">
                  <c:v>356.93746613756866</c:v>
                </c:pt>
                <c:pt idx="39">
                  <c:v>356.93746613756866</c:v>
                </c:pt>
                <c:pt idx="40">
                  <c:v>356.93746613756866</c:v>
                </c:pt>
                <c:pt idx="41">
                  <c:v>356.93746613756866</c:v>
                </c:pt>
                <c:pt idx="42">
                  <c:v>356.93746613756866</c:v>
                </c:pt>
                <c:pt idx="43">
                  <c:v>356.93746613756866</c:v>
                </c:pt>
                <c:pt idx="44">
                  <c:v>356.93746613756866</c:v>
                </c:pt>
                <c:pt idx="45">
                  <c:v>356.93746613756866</c:v>
                </c:pt>
                <c:pt idx="46">
                  <c:v>356.93746613756866</c:v>
                </c:pt>
                <c:pt idx="47">
                  <c:v>356.93746613756866</c:v>
                </c:pt>
                <c:pt idx="48">
                  <c:v>359.38894451899631</c:v>
                </c:pt>
                <c:pt idx="49">
                  <c:v>359.38894451899631</c:v>
                </c:pt>
                <c:pt idx="50">
                  <c:v>359.38894451899631</c:v>
                </c:pt>
                <c:pt idx="51">
                  <c:v>359.38894451899631</c:v>
                </c:pt>
                <c:pt idx="52">
                  <c:v>359.38894451899631</c:v>
                </c:pt>
                <c:pt idx="53">
                  <c:v>359.38894451899631</c:v>
                </c:pt>
                <c:pt idx="54">
                  <c:v>359.38894451899631</c:v>
                </c:pt>
                <c:pt idx="55">
                  <c:v>359.38894451899631</c:v>
                </c:pt>
                <c:pt idx="56">
                  <c:v>359.38894451899631</c:v>
                </c:pt>
                <c:pt idx="57">
                  <c:v>359.38894451899631</c:v>
                </c:pt>
                <c:pt idx="58">
                  <c:v>359.38894451899631</c:v>
                </c:pt>
                <c:pt idx="59">
                  <c:v>359.38894451899631</c:v>
                </c:pt>
                <c:pt idx="60">
                  <c:v>361.85725987279238</c:v>
                </c:pt>
                <c:pt idx="61">
                  <c:v>361.85725987279238</c:v>
                </c:pt>
                <c:pt idx="62">
                  <c:v>361.85725987279238</c:v>
                </c:pt>
                <c:pt idx="63">
                  <c:v>361.85725987279238</c:v>
                </c:pt>
                <c:pt idx="64">
                  <c:v>361.85725987279238</c:v>
                </c:pt>
                <c:pt idx="65">
                  <c:v>361.85725987279238</c:v>
                </c:pt>
                <c:pt idx="66">
                  <c:v>361.85725987279238</c:v>
                </c:pt>
                <c:pt idx="67">
                  <c:v>361.85725987279238</c:v>
                </c:pt>
                <c:pt idx="68">
                  <c:v>361.85725987279238</c:v>
                </c:pt>
                <c:pt idx="69">
                  <c:v>361.85725987279238</c:v>
                </c:pt>
                <c:pt idx="70">
                  <c:v>361.85725987279238</c:v>
                </c:pt>
                <c:pt idx="71">
                  <c:v>361.85725987279238</c:v>
                </c:pt>
                <c:pt idx="72">
                  <c:v>364.34252783678613</c:v>
                </c:pt>
                <c:pt idx="73">
                  <c:v>364.34252783678613</c:v>
                </c:pt>
                <c:pt idx="74">
                  <c:v>364.34252783678613</c:v>
                </c:pt>
                <c:pt idx="75">
                  <c:v>364.34252783678613</c:v>
                </c:pt>
                <c:pt idx="76">
                  <c:v>364.34252783678613</c:v>
                </c:pt>
                <c:pt idx="77">
                  <c:v>364.34252783678613</c:v>
                </c:pt>
                <c:pt idx="78">
                  <c:v>364.34252783678613</c:v>
                </c:pt>
                <c:pt idx="79">
                  <c:v>364.34252783678613</c:v>
                </c:pt>
                <c:pt idx="80">
                  <c:v>364.34252783678613</c:v>
                </c:pt>
                <c:pt idx="81">
                  <c:v>364.34252783678613</c:v>
                </c:pt>
                <c:pt idx="82">
                  <c:v>364.34252783678613</c:v>
                </c:pt>
                <c:pt idx="83">
                  <c:v>364.34252783678613</c:v>
                </c:pt>
                <c:pt idx="84">
                  <c:v>366.84486484301777</c:v>
                </c:pt>
                <c:pt idx="85">
                  <c:v>366.84486484301777</c:v>
                </c:pt>
                <c:pt idx="86">
                  <c:v>366.84486484301777</c:v>
                </c:pt>
                <c:pt idx="87">
                  <c:v>366.84486484301777</c:v>
                </c:pt>
                <c:pt idx="88">
                  <c:v>366.84486484301777</c:v>
                </c:pt>
                <c:pt idx="89">
                  <c:v>366.84486484301777</c:v>
                </c:pt>
                <c:pt idx="90">
                  <c:v>366.84486484301777</c:v>
                </c:pt>
                <c:pt idx="91">
                  <c:v>366.84486484301777</c:v>
                </c:pt>
                <c:pt idx="92">
                  <c:v>366.84486484301777</c:v>
                </c:pt>
                <c:pt idx="93">
                  <c:v>366.84486484301777</c:v>
                </c:pt>
                <c:pt idx="94">
                  <c:v>366.84486484301777</c:v>
                </c:pt>
                <c:pt idx="95">
                  <c:v>366.84486484301777</c:v>
                </c:pt>
                <c:pt idx="96">
                  <c:v>369.36438812319312</c:v>
                </c:pt>
                <c:pt idx="97">
                  <c:v>369.36438812319312</c:v>
                </c:pt>
                <c:pt idx="98">
                  <c:v>369.36438812319312</c:v>
                </c:pt>
                <c:pt idx="99">
                  <c:v>369.36438812319312</c:v>
                </c:pt>
                <c:pt idx="100">
                  <c:v>369.36438812319312</c:v>
                </c:pt>
                <c:pt idx="101">
                  <c:v>369.36438812319312</c:v>
                </c:pt>
                <c:pt idx="102">
                  <c:v>369.36438812319312</c:v>
                </c:pt>
                <c:pt idx="103">
                  <c:v>369.36438812319312</c:v>
                </c:pt>
                <c:pt idx="104">
                  <c:v>369.36438812319312</c:v>
                </c:pt>
                <c:pt idx="105">
                  <c:v>369.36438812319312</c:v>
                </c:pt>
                <c:pt idx="106">
                  <c:v>369.36438812319312</c:v>
                </c:pt>
                <c:pt idx="107">
                  <c:v>369.36438812319312</c:v>
                </c:pt>
                <c:pt idx="108">
                  <c:v>371.90121571417598</c:v>
                </c:pt>
                <c:pt idx="109">
                  <c:v>371.90121571417598</c:v>
                </c:pt>
                <c:pt idx="110">
                  <c:v>371.90121571417598</c:v>
                </c:pt>
                <c:pt idx="111">
                  <c:v>371.90121571417598</c:v>
                </c:pt>
                <c:pt idx="112">
                  <c:v>371.90121571417598</c:v>
                </c:pt>
                <c:pt idx="113">
                  <c:v>371.90121571417598</c:v>
                </c:pt>
                <c:pt idx="114">
                  <c:v>371.90121571417598</c:v>
                </c:pt>
                <c:pt idx="115">
                  <c:v>371.90121571417598</c:v>
                </c:pt>
                <c:pt idx="116">
                  <c:v>371.90121571417598</c:v>
                </c:pt>
                <c:pt idx="117">
                  <c:v>371.90121571417598</c:v>
                </c:pt>
                <c:pt idx="118">
                  <c:v>371.90121571417598</c:v>
                </c:pt>
                <c:pt idx="119">
                  <c:v>371.90121571417598</c:v>
                </c:pt>
                <c:pt idx="120">
                  <c:v>374.4554664635175</c:v>
                </c:pt>
                <c:pt idx="121">
                  <c:v>374.4554664635175</c:v>
                </c:pt>
                <c:pt idx="122">
                  <c:v>374.4554664635175</c:v>
                </c:pt>
                <c:pt idx="123">
                  <c:v>374.4554664635175</c:v>
                </c:pt>
                <c:pt idx="124">
                  <c:v>374.4554664635175</c:v>
                </c:pt>
                <c:pt idx="125">
                  <c:v>374.4554664635175</c:v>
                </c:pt>
                <c:pt idx="126">
                  <c:v>374.4554664635175</c:v>
                </c:pt>
                <c:pt idx="127">
                  <c:v>374.4554664635175</c:v>
                </c:pt>
                <c:pt idx="128">
                  <c:v>374.4554664635175</c:v>
                </c:pt>
                <c:pt idx="129">
                  <c:v>374.4554664635175</c:v>
                </c:pt>
                <c:pt idx="130">
                  <c:v>374.4554664635175</c:v>
                </c:pt>
                <c:pt idx="131">
                  <c:v>374.4554664635175</c:v>
                </c:pt>
                <c:pt idx="132">
                  <c:v>377.02726003502488</c:v>
                </c:pt>
                <c:pt idx="133">
                  <c:v>377.02726003502488</c:v>
                </c:pt>
                <c:pt idx="134">
                  <c:v>377.02726003502488</c:v>
                </c:pt>
                <c:pt idx="135">
                  <c:v>377.02726003502488</c:v>
                </c:pt>
                <c:pt idx="136">
                  <c:v>377.02726003502488</c:v>
                </c:pt>
                <c:pt idx="137">
                  <c:v>377.02726003502488</c:v>
                </c:pt>
                <c:pt idx="138">
                  <c:v>377.02726003502488</c:v>
                </c:pt>
                <c:pt idx="139">
                  <c:v>377.02726003502488</c:v>
                </c:pt>
                <c:pt idx="140">
                  <c:v>377.02726003502488</c:v>
                </c:pt>
                <c:pt idx="141">
                  <c:v>377.02726003502488</c:v>
                </c:pt>
                <c:pt idx="142">
                  <c:v>377.02726003502488</c:v>
                </c:pt>
                <c:pt idx="143">
                  <c:v>377.02726003502488</c:v>
                </c:pt>
                <c:pt idx="144">
                  <c:v>379.61671691436663</c:v>
                </c:pt>
                <c:pt idx="145">
                  <c:v>379.61671691436663</c:v>
                </c:pt>
                <c:pt idx="146">
                  <c:v>379.61671691436663</c:v>
                </c:pt>
                <c:pt idx="147">
                  <c:v>379.61671691436663</c:v>
                </c:pt>
                <c:pt idx="148">
                  <c:v>379.61671691436663</c:v>
                </c:pt>
                <c:pt idx="149">
                  <c:v>379.61671691436663</c:v>
                </c:pt>
                <c:pt idx="150">
                  <c:v>379.61671691436663</c:v>
                </c:pt>
                <c:pt idx="151">
                  <c:v>379.61671691436663</c:v>
                </c:pt>
                <c:pt idx="152">
                  <c:v>379.61671691436663</c:v>
                </c:pt>
                <c:pt idx="153">
                  <c:v>379.61671691436663</c:v>
                </c:pt>
                <c:pt idx="154">
                  <c:v>379.61671691436663</c:v>
                </c:pt>
                <c:pt idx="155">
                  <c:v>379.61671691436663</c:v>
                </c:pt>
                <c:pt idx="156">
                  <c:v>382.22395841471803</c:v>
                </c:pt>
                <c:pt idx="157">
                  <c:v>382.22395841471803</c:v>
                </c:pt>
                <c:pt idx="158">
                  <c:v>382.22395841471803</c:v>
                </c:pt>
                <c:pt idx="159">
                  <c:v>382.22395841471803</c:v>
                </c:pt>
                <c:pt idx="160">
                  <c:v>382.22395841471803</c:v>
                </c:pt>
                <c:pt idx="161">
                  <c:v>382.22395841471803</c:v>
                </c:pt>
                <c:pt idx="162">
                  <c:v>382.22395841471803</c:v>
                </c:pt>
                <c:pt idx="163">
                  <c:v>382.22395841471803</c:v>
                </c:pt>
                <c:pt idx="164">
                  <c:v>382.22395841471803</c:v>
                </c:pt>
                <c:pt idx="165">
                  <c:v>382.22395841471803</c:v>
                </c:pt>
                <c:pt idx="166">
                  <c:v>382.22395841471803</c:v>
                </c:pt>
                <c:pt idx="167">
                  <c:v>382.22395841471803</c:v>
                </c:pt>
                <c:pt idx="168">
                  <c:v>384.84910668244362</c:v>
                </c:pt>
                <c:pt idx="169">
                  <c:v>384.84910668244362</c:v>
                </c:pt>
                <c:pt idx="170">
                  <c:v>384.84910668244362</c:v>
                </c:pt>
                <c:pt idx="171">
                  <c:v>384.84910668244362</c:v>
                </c:pt>
                <c:pt idx="172">
                  <c:v>384.84910668244362</c:v>
                </c:pt>
                <c:pt idx="173">
                  <c:v>384.84910668244362</c:v>
                </c:pt>
                <c:pt idx="174">
                  <c:v>384.84910668244362</c:v>
                </c:pt>
                <c:pt idx="175">
                  <c:v>384.84910668244362</c:v>
                </c:pt>
                <c:pt idx="176">
                  <c:v>384.84910668244362</c:v>
                </c:pt>
                <c:pt idx="177">
                  <c:v>384.84910668244362</c:v>
                </c:pt>
                <c:pt idx="178">
                  <c:v>384.84910668244362</c:v>
                </c:pt>
                <c:pt idx="179">
                  <c:v>384.84910668244362</c:v>
                </c:pt>
                <c:pt idx="180">
                  <c:v>387.4922847028202</c:v>
                </c:pt>
                <c:pt idx="181">
                  <c:v>387.4922847028202</c:v>
                </c:pt>
                <c:pt idx="182">
                  <c:v>387.4922847028202</c:v>
                </c:pt>
                <c:pt idx="183">
                  <c:v>387.4922847028202</c:v>
                </c:pt>
                <c:pt idx="184">
                  <c:v>387.4922847028202</c:v>
                </c:pt>
                <c:pt idx="185">
                  <c:v>387.4922847028202</c:v>
                </c:pt>
                <c:pt idx="186">
                  <c:v>387.4922847028202</c:v>
                </c:pt>
                <c:pt idx="187">
                  <c:v>387.4922847028202</c:v>
                </c:pt>
                <c:pt idx="188">
                  <c:v>387.4922847028202</c:v>
                </c:pt>
                <c:pt idx="189">
                  <c:v>387.4922847028202</c:v>
                </c:pt>
                <c:pt idx="190">
                  <c:v>387.4922847028202</c:v>
                </c:pt>
                <c:pt idx="191">
                  <c:v>387.4922847028202</c:v>
                </c:pt>
                <c:pt idx="192">
                  <c:v>390.15361630579872</c:v>
                </c:pt>
                <c:pt idx="193">
                  <c:v>390.15361630579872</c:v>
                </c:pt>
                <c:pt idx="194">
                  <c:v>390.15361630579872</c:v>
                </c:pt>
                <c:pt idx="195">
                  <c:v>390.15361630579872</c:v>
                </c:pt>
                <c:pt idx="196">
                  <c:v>390.15361630579872</c:v>
                </c:pt>
                <c:pt idx="197">
                  <c:v>390.15361630579872</c:v>
                </c:pt>
                <c:pt idx="198">
                  <c:v>390.15361630579872</c:v>
                </c:pt>
                <c:pt idx="199">
                  <c:v>390.15361630579872</c:v>
                </c:pt>
                <c:pt idx="200">
                  <c:v>390.15361630579872</c:v>
                </c:pt>
                <c:pt idx="201">
                  <c:v>390.15361630579872</c:v>
                </c:pt>
                <c:pt idx="202">
                  <c:v>390.15361630579872</c:v>
                </c:pt>
                <c:pt idx="203">
                  <c:v>390.15361630579872</c:v>
                </c:pt>
                <c:pt idx="204">
                  <c:v>392.83322617180494</c:v>
                </c:pt>
                <c:pt idx="205">
                  <c:v>392.83322617180494</c:v>
                </c:pt>
                <c:pt idx="206">
                  <c:v>392.83322617180494</c:v>
                </c:pt>
                <c:pt idx="207">
                  <c:v>392.83322617180494</c:v>
                </c:pt>
                <c:pt idx="208">
                  <c:v>392.83322617180494</c:v>
                </c:pt>
                <c:pt idx="209">
                  <c:v>392.83322617180494</c:v>
                </c:pt>
                <c:pt idx="210">
                  <c:v>392.83322617180494</c:v>
                </c:pt>
                <c:pt idx="211">
                  <c:v>392.83322617180494</c:v>
                </c:pt>
                <c:pt idx="212">
                  <c:v>392.83322617180494</c:v>
                </c:pt>
                <c:pt idx="213">
                  <c:v>392.83322617180494</c:v>
                </c:pt>
                <c:pt idx="214">
                  <c:v>392.83322617180494</c:v>
                </c:pt>
                <c:pt idx="215">
                  <c:v>392.83322617180494</c:v>
                </c:pt>
                <c:pt idx="216">
                  <c:v>395.5312398375811</c:v>
                </c:pt>
                <c:pt idx="217">
                  <c:v>395.5312398375811</c:v>
                </c:pt>
                <c:pt idx="218">
                  <c:v>395.5312398375811</c:v>
                </c:pt>
                <c:pt idx="219">
                  <c:v>395.5312398375811</c:v>
                </c:pt>
                <c:pt idx="220">
                  <c:v>395.5312398375811</c:v>
                </c:pt>
                <c:pt idx="221">
                  <c:v>395.5312398375811</c:v>
                </c:pt>
                <c:pt idx="222">
                  <c:v>395.5312398375811</c:v>
                </c:pt>
                <c:pt idx="223">
                  <c:v>395.5312398375811</c:v>
                </c:pt>
                <c:pt idx="224">
                  <c:v>395.5312398375811</c:v>
                </c:pt>
                <c:pt idx="225">
                  <c:v>395.5312398375811</c:v>
                </c:pt>
                <c:pt idx="226">
                  <c:v>395.5312398375811</c:v>
                </c:pt>
                <c:pt idx="227">
                  <c:v>395.5312398375811</c:v>
                </c:pt>
                <c:pt idx="228">
                  <c:v>398.2477837020669</c:v>
                </c:pt>
                <c:pt idx="229">
                  <c:v>398.2477837020669</c:v>
                </c:pt>
                <c:pt idx="230">
                  <c:v>398.2477837020669</c:v>
                </c:pt>
                <c:pt idx="231">
                  <c:v>398.2477837020669</c:v>
                </c:pt>
                <c:pt idx="232">
                  <c:v>398.2477837020669</c:v>
                </c:pt>
                <c:pt idx="233">
                  <c:v>398.2477837020669</c:v>
                </c:pt>
                <c:pt idx="234">
                  <c:v>398.2477837020669</c:v>
                </c:pt>
                <c:pt idx="235">
                  <c:v>398.2477837020669</c:v>
                </c:pt>
                <c:pt idx="236">
                  <c:v>398.2477837020669</c:v>
                </c:pt>
                <c:pt idx="237">
                  <c:v>398.2477837020669</c:v>
                </c:pt>
                <c:pt idx="238">
                  <c:v>398.2477837020669</c:v>
                </c:pt>
                <c:pt idx="239">
                  <c:v>398.2477837020669</c:v>
                </c:pt>
                <c:pt idx="240">
                  <c:v>400.98298503232121</c:v>
                </c:pt>
                <c:pt idx="241">
                  <c:v>400.98298503232121</c:v>
                </c:pt>
                <c:pt idx="242">
                  <c:v>400.98298503232121</c:v>
                </c:pt>
                <c:pt idx="243">
                  <c:v>400.98298503232121</c:v>
                </c:pt>
                <c:pt idx="244">
                  <c:v>400.98298503232121</c:v>
                </c:pt>
                <c:pt idx="245">
                  <c:v>400.98298503232121</c:v>
                </c:pt>
                <c:pt idx="246">
                  <c:v>400.98298503232121</c:v>
                </c:pt>
                <c:pt idx="247">
                  <c:v>400.98298503232121</c:v>
                </c:pt>
                <c:pt idx="248">
                  <c:v>400.98298503232121</c:v>
                </c:pt>
                <c:pt idx="249">
                  <c:v>400.98298503232121</c:v>
                </c:pt>
                <c:pt idx="250">
                  <c:v>400.98298503232121</c:v>
                </c:pt>
                <c:pt idx="251">
                  <c:v>400.98298503232121</c:v>
                </c:pt>
                <c:pt idx="252">
                  <c:v>403.73697196948461</c:v>
                </c:pt>
                <c:pt idx="253">
                  <c:v>403.73697196948461</c:v>
                </c:pt>
                <c:pt idx="254">
                  <c:v>403.73697196948461</c:v>
                </c:pt>
                <c:pt idx="255">
                  <c:v>403.73697196948461</c:v>
                </c:pt>
                <c:pt idx="256">
                  <c:v>403.73697196948461</c:v>
                </c:pt>
                <c:pt idx="257">
                  <c:v>403.73697196948461</c:v>
                </c:pt>
                <c:pt idx="258">
                  <c:v>403.73697196948461</c:v>
                </c:pt>
                <c:pt idx="259">
                  <c:v>403.73697196948461</c:v>
                </c:pt>
                <c:pt idx="260">
                  <c:v>403.73697196948461</c:v>
                </c:pt>
                <c:pt idx="261">
                  <c:v>403.73697196948461</c:v>
                </c:pt>
                <c:pt idx="262">
                  <c:v>403.73697196948461</c:v>
                </c:pt>
                <c:pt idx="263">
                  <c:v>403.73697196948461</c:v>
                </c:pt>
                <c:pt idx="264">
                  <c:v>406.5098735347824</c:v>
                </c:pt>
                <c:pt idx="265">
                  <c:v>406.5098735347824</c:v>
                </c:pt>
                <c:pt idx="266">
                  <c:v>406.5098735347824</c:v>
                </c:pt>
                <c:pt idx="267">
                  <c:v>406.5098735347824</c:v>
                </c:pt>
                <c:pt idx="268">
                  <c:v>406.5098735347824</c:v>
                </c:pt>
                <c:pt idx="269">
                  <c:v>406.5098735347824</c:v>
                </c:pt>
                <c:pt idx="270">
                  <c:v>406.5098735347824</c:v>
                </c:pt>
                <c:pt idx="271">
                  <c:v>406.5098735347824</c:v>
                </c:pt>
                <c:pt idx="272">
                  <c:v>406.5098735347824</c:v>
                </c:pt>
                <c:pt idx="273">
                  <c:v>406.5098735347824</c:v>
                </c:pt>
                <c:pt idx="274">
                  <c:v>406.5098735347824</c:v>
                </c:pt>
                <c:pt idx="275">
                  <c:v>406.5098735347824</c:v>
                </c:pt>
                <c:pt idx="276">
                  <c:v>409.30181963556885</c:v>
                </c:pt>
                <c:pt idx="277">
                  <c:v>409.30181963556885</c:v>
                </c:pt>
                <c:pt idx="278">
                  <c:v>409.30181963556885</c:v>
                </c:pt>
                <c:pt idx="279">
                  <c:v>409.30181963556885</c:v>
                </c:pt>
                <c:pt idx="280">
                  <c:v>409.30181963556885</c:v>
                </c:pt>
                <c:pt idx="281">
                  <c:v>409.30181963556885</c:v>
                </c:pt>
                <c:pt idx="282">
                  <c:v>409.30181963556885</c:v>
                </c:pt>
                <c:pt idx="283">
                  <c:v>409.30181963556885</c:v>
                </c:pt>
                <c:pt idx="284">
                  <c:v>409.30181963556885</c:v>
                </c:pt>
                <c:pt idx="285">
                  <c:v>409.30181963556885</c:v>
                </c:pt>
                <c:pt idx="286">
                  <c:v>409.30181963556885</c:v>
                </c:pt>
                <c:pt idx="287">
                  <c:v>409.30181963556885</c:v>
                </c:pt>
                <c:pt idx="288">
                  <c:v>412.11294107141413</c:v>
                </c:pt>
                <c:pt idx="289">
                  <c:v>412.11294107141413</c:v>
                </c:pt>
                <c:pt idx="290">
                  <c:v>412.11294107141413</c:v>
                </c:pt>
                <c:pt idx="291">
                  <c:v>412.11294107141413</c:v>
                </c:pt>
                <c:pt idx="292">
                  <c:v>412.11294107141413</c:v>
                </c:pt>
                <c:pt idx="293">
                  <c:v>412.11294107141413</c:v>
                </c:pt>
                <c:pt idx="294">
                  <c:v>412.11294107141413</c:v>
                </c:pt>
                <c:pt idx="295">
                  <c:v>412.11294107141413</c:v>
                </c:pt>
                <c:pt idx="296">
                  <c:v>412.11294107141413</c:v>
                </c:pt>
                <c:pt idx="297">
                  <c:v>412.11294107141413</c:v>
                </c:pt>
                <c:pt idx="298">
                  <c:v>412.11294107141413</c:v>
                </c:pt>
                <c:pt idx="299">
                  <c:v>412.11294107141413</c:v>
                </c:pt>
                <c:pt idx="300">
                  <c:v>414.94336954023106</c:v>
                </c:pt>
                <c:pt idx="301">
                  <c:v>414.94336954023106</c:v>
                </c:pt>
                <c:pt idx="302">
                  <c:v>414.94336954023106</c:v>
                </c:pt>
                <c:pt idx="303">
                  <c:v>414.94336954023106</c:v>
                </c:pt>
                <c:pt idx="304">
                  <c:v>414.94336954023106</c:v>
                </c:pt>
                <c:pt idx="305">
                  <c:v>414.94336954023106</c:v>
                </c:pt>
                <c:pt idx="306">
                  <c:v>414.94336954023106</c:v>
                </c:pt>
                <c:pt idx="307">
                  <c:v>414.94336954023106</c:v>
                </c:pt>
                <c:pt idx="308">
                  <c:v>414.94336954023106</c:v>
                </c:pt>
                <c:pt idx="309">
                  <c:v>414.94336954023106</c:v>
                </c:pt>
                <c:pt idx="310">
                  <c:v>414.94336954023106</c:v>
                </c:pt>
                <c:pt idx="311">
                  <c:v>414.94336954023106</c:v>
                </c:pt>
                <c:pt idx="312">
                  <c:v>417.79323764444558</c:v>
                </c:pt>
                <c:pt idx="313">
                  <c:v>417.79323764444558</c:v>
                </c:pt>
                <c:pt idx="314">
                  <c:v>417.79323764444558</c:v>
                </c:pt>
                <c:pt idx="315">
                  <c:v>417.79323764444558</c:v>
                </c:pt>
                <c:pt idx="316">
                  <c:v>417.79323764444558</c:v>
                </c:pt>
                <c:pt idx="317">
                  <c:v>417.79323764444558</c:v>
                </c:pt>
                <c:pt idx="318">
                  <c:v>417.79323764444558</c:v>
                </c:pt>
                <c:pt idx="319">
                  <c:v>417.79323764444558</c:v>
                </c:pt>
                <c:pt idx="320">
                  <c:v>417.79323764444558</c:v>
                </c:pt>
                <c:pt idx="321">
                  <c:v>417.79323764444558</c:v>
                </c:pt>
                <c:pt idx="322">
                  <c:v>417.79323764444558</c:v>
                </c:pt>
                <c:pt idx="323">
                  <c:v>417.79323764444558</c:v>
                </c:pt>
                <c:pt idx="324">
                  <c:v>420.66267889720916</c:v>
                </c:pt>
                <c:pt idx="325">
                  <c:v>420.66267889720916</c:v>
                </c:pt>
                <c:pt idx="326">
                  <c:v>420.66267889720916</c:v>
                </c:pt>
                <c:pt idx="327">
                  <c:v>420.66267889720916</c:v>
                </c:pt>
                <c:pt idx="328">
                  <c:v>420.66267889720916</c:v>
                </c:pt>
                <c:pt idx="329">
                  <c:v>420.66267889720916</c:v>
                </c:pt>
                <c:pt idx="330">
                  <c:v>420.66267889720916</c:v>
                </c:pt>
                <c:pt idx="331">
                  <c:v>420.66267889720916</c:v>
                </c:pt>
                <c:pt idx="332">
                  <c:v>420.66267889720916</c:v>
                </c:pt>
                <c:pt idx="333">
                  <c:v>420.66267889720916</c:v>
                </c:pt>
                <c:pt idx="334">
                  <c:v>420.66267889720916</c:v>
                </c:pt>
                <c:pt idx="335">
                  <c:v>420.66267889720916</c:v>
                </c:pt>
                <c:pt idx="336">
                  <c:v>423.55182772865322</c:v>
                </c:pt>
                <c:pt idx="337">
                  <c:v>423.55182772865322</c:v>
                </c:pt>
                <c:pt idx="338">
                  <c:v>423.55182772865322</c:v>
                </c:pt>
                <c:pt idx="339">
                  <c:v>423.55182772865322</c:v>
                </c:pt>
                <c:pt idx="340">
                  <c:v>423.55182772865322</c:v>
                </c:pt>
                <c:pt idx="341">
                  <c:v>423.55182772865322</c:v>
                </c:pt>
                <c:pt idx="342">
                  <c:v>423.55182772865322</c:v>
                </c:pt>
                <c:pt idx="343">
                  <c:v>423.55182772865322</c:v>
                </c:pt>
                <c:pt idx="344">
                  <c:v>423.55182772865322</c:v>
                </c:pt>
                <c:pt idx="345">
                  <c:v>423.55182772865322</c:v>
                </c:pt>
                <c:pt idx="346">
                  <c:v>423.55182772865322</c:v>
                </c:pt>
                <c:pt idx="347">
                  <c:v>423.55182772865322</c:v>
                </c:pt>
                <c:pt idx="348">
                  <c:v>426.46081949218745</c:v>
                </c:pt>
                <c:pt idx="349">
                  <c:v>426.46081949218745</c:v>
                </c:pt>
                <c:pt idx="350">
                  <c:v>426.46081949218745</c:v>
                </c:pt>
                <c:pt idx="351">
                  <c:v>426.46081949218745</c:v>
                </c:pt>
                <c:pt idx="352">
                  <c:v>426.46081949218745</c:v>
                </c:pt>
                <c:pt idx="353">
                  <c:v>426.46081949218745</c:v>
                </c:pt>
                <c:pt idx="354">
                  <c:v>426.46081949218745</c:v>
                </c:pt>
                <c:pt idx="355">
                  <c:v>426.46081949218745</c:v>
                </c:pt>
                <c:pt idx="356">
                  <c:v>426.46081949218745</c:v>
                </c:pt>
                <c:pt idx="357">
                  <c:v>426.46081949218745</c:v>
                </c:pt>
                <c:pt idx="358">
                  <c:v>426.46081949218745</c:v>
                </c:pt>
                <c:pt idx="359">
                  <c:v>426.46081949218745</c:v>
                </c:pt>
                <c:pt idx="360">
                  <c:v>429.38979047084086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5-48F0-BDFF-623251C3AB8A}"/>
            </c:ext>
          </c:extLst>
        </c:ser>
        <c:ser>
          <c:idx val="3"/>
          <c:order val="3"/>
          <c:tx>
            <c:strRef>
              <c:f>'Flujos Mensuales'!$K$13</c:f>
              <c:strCache>
                <c:ptCount val="1"/>
                <c:pt idx="0">
                  <c:v>Seguro
Mensual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Mensuales'!$K$14:$K$374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247.17192499999999</c:v>
                </c:pt>
                <c:pt idx="2">
                  <c:v>247.17192499999999</c:v>
                </c:pt>
                <c:pt idx="3">
                  <c:v>247.17192499999999</c:v>
                </c:pt>
                <c:pt idx="4">
                  <c:v>247.17192499999999</c:v>
                </c:pt>
                <c:pt idx="5">
                  <c:v>247.17192499999999</c:v>
                </c:pt>
                <c:pt idx="6">
                  <c:v>247.17192499999999</c:v>
                </c:pt>
                <c:pt idx="7">
                  <c:v>247.17192499999999</c:v>
                </c:pt>
                <c:pt idx="8">
                  <c:v>247.17192499999999</c:v>
                </c:pt>
                <c:pt idx="9">
                  <c:v>247.17192499999999</c:v>
                </c:pt>
                <c:pt idx="10">
                  <c:v>247.17192499999999</c:v>
                </c:pt>
                <c:pt idx="11">
                  <c:v>247.17192499999999</c:v>
                </c:pt>
                <c:pt idx="12">
                  <c:v>247.17192499999999</c:v>
                </c:pt>
                <c:pt idx="13">
                  <c:v>247.17192499999999</c:v>
                </c:pt>
                <c:pt idx="14">
                  <c:v>247.17192499999999</c:v>
                </c:pt>
                <c:pt idx="15">
                  <c:v>247.17192499999999</c:v>
                </c:pt>
                <c:pt idx="16">
                  <c:v>247.17192499999999</c:v>
                </c:pt>
                <c:pt idx="17">
                  <c:v>247.17192499999999</c:v>
                </c:pt>
                <c:pt idx="18">
                  <c:v>247.17192499999999</c:v>
                </c:pt>
                <c:pt idx="19">
                  <c:v>247.17192499999999</c:v>
                </c:pt>
                <c:pt idx="20">
                  <c:v>247.17192499999999</c:v>
                </c:pt>
                <c:pt idx="21">
                  <c:v>247.17192499999999</c:v>
                </c:pt>
                <c:pt idx="22">
                  <c:v>247.17192499999999</c:v>
                </c:pt>
                <c:pt idx="23">
                  <c:v>247.17192499999999</c:v>
                </c:pt>
                <c:pt idx="24">
                  <c:v>247.17192499999999</c:v>
                </c:pt>
                <c:pt idx="25">
                  <c:v>247.17192499999999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E5-48F0-BDFF-623251C3AB8A}"/>
            </c:ext>
          </c:extLst>
        </c:ser>
        <c:ser>
          <c:idx val="4"/>
          <c:order val="4"/>
          <c:tx>
            <c:strRef>
              <c:f>'Flujos Mensuales'!$O$13</c:f>
              <c:strCache>
                <c:ptCount val="1"/>
                <c:pt idx="0">
                  <c:v>Mantenimiento
Mayor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Mensuales'!$O$14:$O$374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217.76179069805394</c:v>
                </c:pt>
                <c:pt idx="13">
                  <c:v>217.76179069805394</c:v>
                </c:pt>
                <c:pt idx="14">
                  <c:v>217.76179069805394</c:v>
                </c:pt>
                <c:pt idx="15">
                  <c:v>217.76179069805394</c:v>
                </c:pt>
                <c:pt idx="16">
                  <c:v>217.76179069805394</c:v>
                </c:pt>
                <c:pt idx="17">
                  <c:v>217.76179069805394</c:v>
                </c:pt>
                <c:pt idx="18">
                  <c:v>217.76179069805394</c:v>
                </c:pt>
                <c:pt idx="19">
                  <c:v>217.76179069805394</c:v>
                </c:pt>
                <c:pt idx="20">
                  <c:v>217.76179069805394</c:v>
                </c:pt>
                <c:pt idx="21">
                  <c:v>217.76179069805394</c:v>
                </c:pt>
                <c:pt idx="22">
                  <c:v>217.76179069805394</c:v>
                </c:pt>
                <c:pt idx="23">
                  <c:v>217.76179069805394</c:v>
                </c:pt>
                <c:pt idx="24">
                  <c:v>227.70803115497259</c:v>
                </c:pt>
                <c:pt idx="25">
                  <c:v>227.70803115497259</c:v>
                </c:pt>
                <c:pt idx="26">
                  <c:v>227.70803115497259</c:v>
                </c:pt>
                <c:pt idx="27">
                  <c:v>227.70803115497259</c:v>
                </c:pt>
                <c:pt idx="28">
                  <c:v>227.70803115497259</c:v>
                </c:pt>
                <c:pt idx="29">
                  <c:v>227.70803115497259</c:v>
                </c:pt>
                <c:pt idx="30">
                  <c:v>227.70803115497259</c:v>
                </c:pt>
                <c:pt idx="31">
                  <c:v>227.70803115497259</c:v>
                </c:pt>
                <c:pt idx="32">
                  <c:v>227.70803115497259</c:v>
                </c:pt>
                <c:pt idx="33">
                  <c:v>227.70803115497259</c:v>
                </c:pt>
                <c:pt idx="34">
                  <c:v>227.70803115497259</c:v>
                </c:pt>
                <c:pt idx="35">
                  <c:v>227.70803115497259</c:v>
                </c:pt>
                <c:pt idx="36">
                  <c:v>238.10856480497043</c:v>
                </c:pt>
                <c:pt idx="37">
                  <c:v>238.10856480497043</c:v>
                </c:pt>
                <c:pt idx="38">
                  <c:v>238.10856480497043</c:v>
                </c:pt>
                <c:pt idx="39">
                  <c:v>238.10856480497043</c:v>
                </c:pt>
                <c:pt idx="40">
                  <c:v>238.10856480497043</c:v>
                </c:pt>
                <c:pt idx="41">
                  <c:v>238.10856480497043</c:v>
                </c:pt>
                <c:pt idx="42">
                  <c:v>238.10856480497043</c:v>
                </c:pt>
                <c:pt idx="43">
                  <c:v>238.10856480497043</c:v>
                </c:pt>
                <c:pt idx="44">
                  <c:v>238.10856480497043</c:v>
                </c:pt>
                <c:pt idx="45">
                  <c:v>238.10856480497043</c:v>
                </c:pt>
                <c:pt idx="46">
                  <c:v>238.10856480497043</c:v>
                </c:pt>
                <c:pt idx="47">
                  <c:v>238.10856480497043</c:v>
                </c:pt>
                <c:pt idx="48">
                  <c:v>248.98414142844646</c:v>
                </c:pt>
                <c:pt idx="49">
                  <c:v>248.98414142844646</c:v>
                </c:pt>
                <c:pt idx="50">
                  <c:v>248.98414142844646</c:v>
                </c:pt>
                <c:pt idx="51">
                  <c:v>248.98414142844646</c:v>
                </c:pt>
                <c:pt idx="52">
                  <c:v>248.98414142844646</c:v>
                </c:pt>
                <c:pt idx="53">
                  <c:v>248.98414142844646</c:v>
                </c:pt>
                <c:pt idx="54">
                  <c:v>248.98414142844646</c:v>
                </c:pt>
                <c:pt idx="55">
                  <c:v>248.98414142844646</c:v>
                </c:pt>
                <c:pt idx="56">
                  <c:v>248.98414142844646</c:v>
                </c:pt>
                <c:pt idx="57">
                  <c:v>248.98414142844646</c:v>
                </c:pt>
                <c:pt idx="58">
                  <c:v>248.98414142844646</c:v>
                </c:pt>
                <c:pt idx="59">
                  <c:v>248.98414142844646</c:v>
                </c:pt>
                <c:pt idx="60">
                  <c:v>260.35645854922456</c:v>
                </c:pt>
                <c:pt idx="61">
                  <c:v>260.35645854922456</c:v>
                </c:pt>
                <c:pt idx="62">
                  <c:v>260.35645854922456</c:v>
                </c:pt>
                <c:pt idx="63">
                  <c:v>260.35645854922456</c:v>
                </c:pt>
                <c:pt idx="64">
                  <c:v>260.35645854922456</c:v>
                </c:pt>
                <c:pt idx="65">
                  <c:v>260.35645854922456</c:v>
                </c:pt>
                <c:pt idx="66">
                  <c:v>260.35645854922456</c:v>
                </c:pt>
                <c:pt idx="67">
                  <c:v>260.35645854922456</c:v>
                </c:pt>
                <c:pt idx="68">
                  <c:v>260.35645854922456</c:v>
                </c:pt>
                <c:pt idx="69">
                  <c:v>260.35645854922456</c:v>
                </c:pt>
                <c:pt idx="70">
                  <c:v>260.35645854922456</c:v>
                </c:pt>
                <c:pt idx="71">
                  <c:v>260.35645854922456</c:v>
                </c:pt>
                <c:pt idx="72">
                  <c:v>272.24820472260654</c:v>
                </c:pt>
                <c:pt idx="73">
                  <c:v>272.24820472260654</c:v>
                </c:pt>
                <c:pt idx="74">
                  <c:v>272.24820472260654</c:v>
                </c:pt>
                <c:pt idx="75">
                  <c:v>272.24820472260654</c:v>
                </c:pt>
                <c:pt idx="76">
                  <c:v>272.24820472260654</c:v>
                </c:pt>
                <c:pt idx="77">
                  <c:v>272.24820472260654</c:v>
                </c:pt>
                <c:pt idx="78">
                  <c:v>272.24820472260654</c:v>
                </c:pt>
                <c:pt idx="79">
                  <c:v>272.24820472260654</c:v>
                </c:pt>
                <c:pt idx="80">
                  <c:v>272.24820472260654</c:v>
                </c:pt>
                <c:pt idx="81">
                  <c:v>272.24820472260654</c:v>
                </c:pt>
                <c:pt idx="82">
                  <c:v>272.24820472260654</c:v>
                </c:pt>
                <c:pt idx="83">
                  <c:v>272.24820472260654</c:v>
                </c:pt>
                <c:pt idx="84">
                  <c:v>284.68310480060103</c:v>
                </c:pt>
                <c:pt idx="85">
                  <c:v>284.68310480060103</c:v>
                </c:pt>
                <c:pt idx="86">
                  <c:v>284.68310480060103</c:v>
                </c:pt>
                <c:pt idx="87">
                  <c:v>284.68310480060103</c:v>
                </c:pt>
                <c:pt idx="88">
                  <c:v>284.68310480060103</c:v>
                </c:pt>
                <c:pt idx="89">
                  <c:v>284.68310480060103</c:v>
                </c:pt>
                <c:pt idx="90">
                  <c:v>284.68310480060103</c:v>
                </c:pt>
                <c:pt idx="91">
                  <c:v>284.68310480060103</c:v>
                </c:pt>
                <c:pt idx="92">
                  <c:v>284.68310480060103</c:v>
                </c:pt>
                <c:pt idx="93">
                  <c:v>284.68310480060103</c:v>
                </c:pt>
                <c:pt idx="94">
                  <c:v>284.68310480060103</c:v>
                </c:pt>
                <c:pt idx="95">
                  <c:v>284.68310480060103</c:v>
                </c:pt>
                <c:pt idx="96">
                  <c:v>297.68596726463699</c:v>
                </c:pt>
                <c:pt idx="97">
                  <c:v>297.68596726463699</c:v>
                </c:pt>
                <c:pt idx="98">
                  <c:v>297.68596726463699</c:v>
                </c:pt>
                <c:pt idx="99">
                  <c:v>297.68596726463699</c:v>
                </c:pt>
                <c:pt idx="100">
                  <c:v>297.68596726463699</c:v>
                </c:pt>
                <c:pt idx="101">
                  <c:v>297.68596726463699</c:v>
                </c:pt>
                <c:pt idx="102">
                  <c:v>297.68596726463699</c:v>
                </c:pt>
                <c:pt idx="103">
                  <c:v>297.68596726463699</c:v>
                </c:pt>
                <c:pt idx="104">
                  <c:v>297.68596726463699</c:v>
                </c:pt>
                <c:pt idx="105">
                  <c:v>297.68596726463699</c:v>
                </c:pt>
                <c:pt idx="106">
                  <c:v>297.68596726463699</c:v>
                </c:pt>
                <c:pt idx="107">
                  <c:v>297.68596726463699</c:v>
                </c:pt>
                <c:pt idx="108">
                  <c:v>311.28273372019015</c:v>
                </c:pt>
                <c:pt idx="109">
                  <c:v>311.28273372019015</c:v>
                </c:pt>
                <c:pt idx="110">
                  <c:v>311.28273372019015</c:v>
                </c:pt>
                <c:pt idx="111">
                  <c:v>311.28273372019015</c:v>
                </c:pt>
                <c:pt idx="112">
                  <c:v>311.28273372019015</c:v>
                </c:pt>
                <c:pt idx="113">
                  <c:v>311.28273372019015</c:v>
                </c:pt>
                <c:pt idx="114">
                  <c:v>311.28273372019015</c:v>
                </c:pt>
                <c:pt idx="115">
                  <c:v>311.28273372019015</c:v>
                </c:pt>
                <c:pt idx="116">
                  <c:v>311.28273372019015</c:v>
                </c:pt>
                <c:pt idx="117">
                  <c:v>311.28273372019015</c:v>
                </c:pt>
                <c:pt idx="118">
                  <c:v>311.28273372019015</c:v>
                </c:pt>
                <c:pt idx="119">
                  <c:v>311.28273372019015</c:v>
                </c:pt>
                <c:pt idx="120">
                  <c:v>325.50053065207254</c:v>
                </c:pt>
                <c:pt idx="121">
                  <c:v>325.50053065207254</c:v>
                </c:pt>
                <c:pt idx="122">
                  <c:v>325.50053065207254</c:v>
                </c:pt>
                <c:pt idx="123">
                  <c:v>325.50053065207254</c:v>
                </c:pt>
                <c:pt idx="124">
                  <c:v>325.50053065207254</c:v>
                </c:pt>
                <c:pt idx="125">
                  <c:v>325.50053065207254</c:v>
                </c:pt>
                <c:pt idx="126">
                  <c:v>325.50053065207254</c:v>
                </c:pt>
                <c:pt idx="127">
                  <c:v>325.50053065207254</c:v>
                </c:pt>
                <c:pt idx="128">
                  <c:v>325.50053065207254</c:v>
                </c:pt>
                <c:pt idx="129">
                  <c:v>325.50053065207254</c:v>
                </c:pt>
                <c:pt idx="130">
                  <c:v>325.50053065207254</c:v>
                </c:pt>
                <c:pt idx="131">
                  <c:v>325.50053065207254</c:v>
                </c:pt>
                <c:pt idx="132">
                  <c:v>340.36772354363552</c:v>
                </c:pt>
                <c:pt idx="133">
                  <c:v>340.36772354363552</c:v>
                </c:pt>
                <c:pt idx="134">
                  <c:v>340.36772354363552</c:v>
                </c:pt>
                <c:pt idx="135">
                  <c:v>340.36772354363552</c:v>
                </c:pt>
                <c:pt idx="136">
                  <c:v>340.36772354363552</c:v>
                </c:pt>
                <c:pt idx="137">
                  <c:v>340.36772354363552</c:v>
                </c:pt>
                <c:pt idx="138">
                  <c:v>340.36772354363552</c:v>
                </c:pt>
                <c:pt idx="139">
                  <c:v>340.36772354363552</c:v>
                </c:pt>
                <c:pt idx="140">
                  <c:v>340.36772354363552</c:v>
                </c:pt>
                <c:pt idx="141">
                  <c:v>340.36772354363552</c:v>
                </c:pt>
                <c:pt idx="142">
                  <c:v>340.36772354363552</c:v>
                </c:pt>
                <c:pt idx="143">
                  <c:v>340.36772354363552</c:v>
                </c:pt>
                <c:pt idx="144">
                  <c:v>355.91397346786198</c:v>
                </c:pt>
                <c:pt idx="145">
                  <c:v>355.91397346786198</c:v>
                </c:pt>
                <c:pt idx="146">
                  <c:v>355.91397346786198</c:v>
                </c:pt>
                <c:pt idx="147">
                  <c:v>355.91397346786198</c:v>
                </c:pt>
                <c:pt idx="148">
                  <c:v>355.91397346786198</c:v>
                </c:pt>
                <c:pt idx="149">
                  <c:v>355.91397346786198</c:v>
                </c:pt>
                <c:pt idx="150">
                  <c:v>355.91397346786198</c:v>
                </c:pt>
                <c:pt idx="151">
                  <c:v>355.91397346786198</c:v>
                </c:pt>
                <c:pt idx="152">
                  <c:v>355.91397346786198</c:v>
                </c:pt>
                <c:pt idx="153">
                  <c:v>355.91397346786198</c:v>
                </c:pt>
                <c:pt idx="154">
                  <c:v>355.91397346786198</c:v>
                </c:pt>
                <c:pt idx="155">
                  <c:v>355.91397346786198</c:v>
                </c:pt>
                <c:pt idx="156">
                  <c:v>372.17029626324739</c:v>
                </c:pt>
                <c:pt idx="157">
                  <c:v>372.17029626324739</c:v>
                </c:pt>
                <c:pt idx="158">
                  <c:v>372.17029626324739</c:v>
                </c:pt>
                <c:pt idx="159">
                  <c:v>372.17029626324739</c:v>
                </c:pt>
                <c:pt idx="160">
                  <c:v>372.17029626324739</c:v>
                </c:pt>
                <c:pt idx="161">
                  <c:v>372.17029626324739</c:v>
                </c:pt>
                <c:pt idx="162">
                  <c:v>372.17029626324739</c:v>
                </c:pt>
                <c:pt idx="163">
                  <c:v>372.17029626324739</c:v>
                </c:pt>
                <c:pt idx="164">
                  <c:v>372.17029626324739</c:v>
                </c:pt>
                <c:pt idx="165">
                  <c:v>372.17029626324739</c:v>
                </c:pt>
                <c:pt idx="166">
                  <c:v>372.17029626324739</c:v>
                </c:pt>
                <c:pt idx="167">
                  <c:v>372.17029626324739</c:v>
                </c:pt>
                <c:pt idx="168">
                  <c:v>389.16912441253311</c:v>
                </c:pt>
                <c:pt idx="169">
                  <c:v>389.16912441253311</c:v>
                </c:pt>
                <c:pt idx="170">
                  <c:v>389.16912441253311</c:v>
                </c:pt>
                <c:pt idx="171">
                  <c:v>389.16912441253311</c:v>
                </c:pt>
                <c:pt idx="172">
                  <c:v>389.16912441253311</c:v>
                </c:pt>
                <c:pt idx="173">
                  <c:v>389.16912441253311</c:v>
                </c:pt>
                <c:pt idx="174">
                  <c:v>389.16912441253311</c:v>
                </c:pt>
                <c:pt idx="175">
                  <c:v>389.16912441253311</c:v>
                </c:pt>
                <c:pt idx="176">
                  <c:v>389.16912441253311</c:v>
                </c:pt>
                <c:pt idx="177">
                  <c:v>389.16912441253311</c:v>
                </c:pt>
                <c:pt idx="178">
                  <c:v>389.16912441253311</c:v>
                </c:pt>
                <c:pt idx="179">
                  <c:v>389.16912441253311</c:v>
                </c:pt>
                <c:pt idx="180">
                  <c:v>406.94437174774038</c:v>
                </c:pt>
                <c:pt idx="181">
                  <c:v>406.94437174774038</c:v>
                </c:pt>
                <c:pt idx="182">
                  <c:v>406.94437174774038</c:v>
                </c:pt>
                <c:pt idx="183">
                  <c:v>406.94437174774038</c:v>
                </c:pt>
                <c:pt idx="184">
                  <c:v>406.94437174774038</c:v>
                </c:pt>
                <c:pt idx="185">
                  <c:v>406.94437174774038</c:v>
                </c:pt>
                <c:pt idx="186">
                  <c:v>406.94437174774038</c:v>
                </c:pt>
                <c:pt idx="187">
                  <c:v>406.94437174774038</c:v>
                </c:pt>
                <c:pt idx="188">
                  <c:v>406.94437174774038</c:v>
                </c:pt>
                <c:pt idx="189">
                  <c:v>406.94437174774038</c:v>
                </c:pt>
                <c:pt idx="190">
                  <c:v>406.94437174774038</c:v>
                </c:pt>
                <c:pt idx="191">
                  <c:v>406.94437174774038</c:v>
                </c:pt>
                <c:pt idx="192">
                  <c:v>425.53150111060017</c:v>
                </c:pt>
                <c:pt idx="193">
                  <c:v>425.53150111060017</c:v>
                </c:pt>
                <c:pt idx="194">
                  <c:v>425.53150111060017</c:v>
                </c:pt>
                <c:pt idx="195">
                  <c:v>425.53150111060017</c:v>
                </c:pt>
                <c:pt idx="196">
                  <c:v>425.53150111060017</c:v>
                </c:pt>
                <c:pt idx="197">
                  <c:v>425.53150111060017</c:v>
                </c:pt>
                <c:pt idx="198">
                  <c:v>425.53150111060017</c:v>
                </c:pt>
                <c:pt idx="199">
                  <c:v>425.53150111060017</c:v>
                </c:pt>
                <c:pt idx="200">
                  <c:v>425.53150111060017</c:v>
                </c:pt>
                <c:pt idx="201">
                  <c:v>425.53150111060017</c:v>
                </c:pt>
                <c:pt idx="202">
                  <c:v>425.53150111060017</c:v>
                </c:pt>
                <c:pt idx="203">
                  <c:v>425.53150111060017</c:v>
                </c:pt>
                <c:pt idx="204">
                  <c:v>444.96759510336238</c:v>
                </c:pt>
                <c:pt idx="205">
                  <c:v>444.96759510336238</c:v>
                </c:pt>
                <c:pt idx="206">
                  <c:v>444.96759510336238</c:v>
                </c:pt>
                <c:pt idx="207">
                  <c:v>444.96759510336238</c:v>
                </c:pt>
                <c:pt idx="208">
                  <c:v>444.96759510336238</c:v>
                </c:pt>
                <c:pt idx="209">
                  <c:v>444.96759510336238</c:v>
                </c:pt>
                <c:pt idx="210">
                  <c:v>444.96759510336238</c:v>
                </c:pt>
                <c:pt idx="211">
                  <c:v>444.96759510336238</c:v>
                </c:pt>
                <c:pt idx="212">
                  <c:v>444.96759510336238</c:v>
                </c:pt>
                <c:pt idx="213">
                  <c:v>444.96759510336238</c:v>
                </c:pt>
                <c:pt idx="214">
                  <c:v>444.96759510336238</c:v>
                </c:pt>
                <c:pt idx="215">
                  <c:v>444.96759510336238</c:v>
                </c:pt>
                <c:pt idx="216">
                  <c:v>465.29143007113959</c:v>
                </c:pt>
                <c:pt idx="217">
                  <c:v>465.29143007113959</c:v>
                </c:pt>
                <c:pt idx="218">
                  <c:v>465.29143007113959</c:v>
                </c:pt>
                <c:pt idx="219">
                  <c:v>465.29143007113959</c:v>
                </c:pt>
                <c:pt idx="220">
                  <c:v>465.29143007113959</c:v>
                </c:pt>
                <c:pt idx="221">
                  <c:v>465.29143007113959</c:v>
                </c:pt>
                <c:pt idx="222">
                  <c:v>465.29143007113959</c:v>
                </c:pt>
                <c:pt idx="223">
                  <c:v>465.29143007113959</c:v>
                </c:pt>
                <c:pt idx="224">
                  <c:v>465.29143007113959</c:v>
                </c:pt>
                <c:pt idx="225">
                  <c:v>465.29143007113959</c:v>
                </c:pt>
                <c:pt idx="226">
                  <c:v>465.29143007113959</c:v>
                </c:pt>
                <c:pt idx="227">
                  <c:v>465.29143007113959</c:v>
                </c:pt>
                <c:pt idx="228">
                  <c:v>486.54355346338389</c:v>
                </c:pt>
                <c:pt idx="229">
                  <c:v>486.54355346338389</c:v>
                </c:pt>
                <c:pt idx="230">
                  <c:v>486.54355346338389</c:v>
                </c:pt>
                <c:pt idx="231">
                  <c:v>486.54355346338389</c:v>
                </c:pt>
                <c:pt idx="232">
                  <c:v>486.54355346338389</c:v>
                </c:pt>
                <c:pt idx="233">
                  <c:v>486.54355346338389</c:v>
                </c:pt>
                <c:pt idx="234">
                  <c:v>486.54355346338389</c:v>
                </c:pt>
                <c:pt idx="235">
                  <c:v>486.54355346338389</c:v>
                </c:pt>
                <c:pt idx="236">
                  <c:v>486.54355346338389</c:v>
                </c:pt>
                <c:pt idx="237">
                  <c:v>486.54355346338389</c:v>
                </c:pt>
                <c:pt idx="238">
                  <c:v>486.54355346338389</c:v>
                </c:pt>
                <c:pt idx="239">
                  <c:v>486.54355346338389</c:v>
                </c:pt>
                <c:pt idx="240">
                  <c:v>508.76636472883933</c:v>
                </c:pt>
                <c:pt idx="241">
                  <c:v>508.76636472883933</c:v>
                </c:pt>
                <c:pt idx="242">
                  <c:v>508.76636472883933</c:v>
                </c:pt>
                <c:pt idx="243">
                  <c:v>508.76636472883933</c:v>
                </c:pt>
                <c:pt idx="244">
                  <c:v>508.76636472883933</c:v>
                </c:pt>
                <c:pt idx="245">
                  <c:v>508.76636472883933</c:v>
                </c:pt>
                <c:pt idx="246">
                  <c:v>508.76636472883933</c:v>
                </c:pt>
                <c:pt idx="247">
                  <c:v>508.76636472883933</c:v>
                </c:pt>
                <c:pt idx="248">
                  <c:v>508.76636472883933</c:v>
                </c:pt>
                <c:pt idx="249">
                  <c:v>508.76636472883933</c:v>
                </c:pt>
                <c:pt idx="250">
                  <c:v>508.76636472883933</c:v>
                </c:pt>
                <c:pt idx="251">
                  <c:v>508.76636472883933</c:v>
                </c:pt>
                <c:pt idx="252">
                  <c:v>532.00419990536034</c:v>
                </c:pt>
                <c:pt idx="253">
                  <c:v>532.00419990536034</c:v>
                </c:pt>
                <c:pt idx="254">
                  <c:v>532.00419990536034</c:v>
                </c:pt>
                <c:pt idx="255">
                  <c:v>532.00419990536034</c:v>
                </c:pt>
                <c:pt idx="256">
                  <c:v>532.00419990536034</c:v>
                </c:pt>
                <c:pt idx="257">
                  <c:v>532.00419990536034</c:v>
                </c:pt>
                <c:pt idx="258">
                  <c:v>532.00419990536034</c:v>
                </c:pt>
                <c:pt idx="259">
                  <c:v>532.00419990536034</c:v>
                </c:pt>
                <c:pt idx="260">
                  <c:v>532.00419990536034</c:v>
                </c:pt>
                <c:pt idx="261">
                  <c:v>532.00419990536034</c:v>
                </c:pt>
                <c:pt idx="262">
                  <c:v>532.00419990536034</c:v>
                </c:pt>
                <c:pt idx="263">
                  <c:v>532.00419990536034</c:v>
                </c:pt>
                <c:pt idx="264">
                  <c:v>556.30342007335764</c:v>
                </c:pt>
                <c:pt idx="265">
                  <c:v>556.30342007335764</c:v>
                </c:pt>
                <c:pt idx="266">
                  <c:v>556.30342007335764</c:v>
                </c:pt>
                <c:pt idx="267">
                  <c:v>556.30342007335764</c:v>
                </c:pt>
                <c:pt idx="268">
                  <c:v>556.30342007335764</c:v>
                </c:pt>
                <c:pt idx="269">
                  <c:v>556.30342007335764</c:v>
                </c:pt>
                <c:pt idx="270">
                  <c:v>556.30342007335764</c:v>
                </c:pt>
                <c:pt idx="271">
                  <c:v>556.30342007335764</c:v>
                </c:pt>
                <c:pt idx="272">
                  <c:v>556.30342007335764</c:v>
                </c:pt>
                <c:pt idx="273">
                  <c:v>556.30342007335764</c:v>
                </c:pt>
                <c:pt idx="274">
                  <c:v>556.30342007335764</c:v>
                </c:pt>
                <c:pt idx="275">
                  <c:v>556.30342007335764</c:v>
                </c:pt>
                <c:pt idx="276">
                  <c:v>581.71250384934478</c:v>
                </c:pt>
                <c:pt idx="277">
                  <c:v>581.71250384934478</c:v>
                </c:pt>
                <c:pt idx="278">
                  <c:v>581.71250384934478</c:v>
                </c:pt>
                <c:pt idx="279">
                  <c:v>581.71250384934478</c:v>
                </c:pt>
                <c:pt idx="280">
                  <c:v>581.71250384934478</c:v>
                </c:pt>
                <c:pt idx="281">
                  <c:v>581.71250384934478</c:v>
                </c:pt>
                <c:pt idx="282">
                  <c:v>581.71250384934478</c:v>
                </c:pt>
                <c:pt idx="283">
                  <c:v>581.71250384934478</c:v>
                </c:pt>
                <c:pt idx="284">
                  <c:v>581.71250384934478</c:v>
                </c:pt>
                <c:pt idx="285">
                  <c:v>581.71250384934478</c:v>
                </c:pt>
                <c:pt idx="286">
                  <c:v>581.71250384934478</c:v>
                </c:pt>
                <c:pt idx="287">
                  <c:v>581.71250384934478</c:v>
                </c:pt>
                <c:pt idx="288">
                  <c:v>608.28214410411499</c:v>
                </c:pt>
                <c:pt idx="289">
                  <c:v>608.28214410411499</c:v>
                </c:pt>
                <c:pt idx="290">
                  <c:v>608.28214410411499</c:v>
                </c:pt>
                <c:pt idx="291">
                  <c:v>608.28214410411499</c:v>
                </c:pt>
                <c:pt idx="292">
                  <c:v>608.28214410411499</c:v>
                </c:pt>
                <c:pt idx="293">
                  <c:v>608.28214410411499</c:v>
                </c:pt>
                <c:pt idx="294">
                  <c:v>608.28214410411499</c:v>
                </c:pt>
                <c:pt idx="295">
                  <c:v>608.28214410411499</c:v>
                </c:pt>
                <c:pt idx="296">
                  <c:v>608.28214410411499</c:v>
                </c:pt>
                <c:pt idx="297">
                  <c:v>608.28214410411499</c:v>
                </c:pt>
                <c:pt idx="298">
                  <c:v>608.28214410411499</c:v>
                </c:pt>
                <c:pt idx="299">
                  <c:v>608.28214410411499</c:v>
                </c:pt>
                <c:pt idx="300">
                  <c:v>636.06534909850541</c:v>
                </c:pt>
                <c:pt idx="301">
                  <c:v>636.06534909850541</c:v>
                </c:pt>
                <c:pt idx="302">
                  <c:v>636.06534909850541</c:v>
                </c:pt>
                <c:pt idx="303">
                  <c:v>636.06534909850541</c:v>
                </c:pt>
                <c:pt idx="304">
                  <c:v>636.06534909850541</c:v>
                </c:pt>
                <c:pt idx="305">
                  <c:v>636.06534909850541</c:v>
                </c:pt>
                <c:pt idx="306">
                  <c:v>636.06534909850541</c:v>
                </c:pt>
                <c:pt idx="307">
                  <c:v>636.06534909850541</c:v>
                </c:pt>
                <c:pt idx="308">
                  <c:v>636.06534909850541</c:v>
                </c:pt>
                <c:pt idx="309">
                  <c:v>636.06534909850541</c:v>
                </c:pt>
                <c:pt idx="310">
                  <c:v>636.06534909850541</c:v>
                </c:pt>
                <c:pt idx="311">
                  <c:v>636.06534909850541</c:v>
                </c:pt>
                <c:pt idx="312">
                  <c:v>665.11754823852755</c:v>
                </c:pt>
                <c:pt idx="313">
                  <c:v>665.11754823852755</c:v>
                </c:pt>
                <c:pt idx="314">
                  <c:v>665.11754823852755</c:v>
                </c:pt>
                <c:pt idx="315">
                  <c:v>665.11754823852755</c:v>
                </c:pt>
                <c:pt idx="316">
                  <c:v>665.11754823852755</c:v>
                </c:pt>
                <c:pt idx="317">
                  <c:v>665.11754823852755</c:v>
                </c:pt>
                <c:pt idx="318">
                  <c:v>665.11754823852755</c:v>
                </c:pt>
                <c:pt idx="319">
                  <c:v>665.11754823852755</c:v>
                </c:pt>
                <c:pt idx="320">
                  <c:v>665.11754823852755</c:v>
                </c:pt>
                <c:pt idx="321">
                  <c:v>665.11754823852755</c:v>
                </c:pt>
                <c:pt idx="322">
                  <c:v>665.11754823852755</c:v>
                </c:pt>
                <c:pt idx="323">
                  <c:v>665.11754823852755</c:v>
                </c:pt>
                <c:pt idx="324">
                  <c:v>695.49670266084513</c:v>
                </c:pt>
                <c:pt idx="325">
                  <c:v>695.49670266084513</c:v>
                </c:pt>
                <c:pt idx="326">
                  <c:v>695.49670266084513</c:v>
                </c:pt>
                <c:pt idx="327">
                  <c:v>695.49670266084513</c:v>
                </c:pt>
                <c:pt idx="328">
                  <c:v>695.49670266084513</c:v>
                </c:pt>
                <c:pt idx="329">
                  <c:v>695.49670266084513</c:v>
                </c:pt>
                <c:pt idx="330">
                  <c:v>695.49670266084513</c:v>
                </c:pt>
                <c:pt idx="331">
                  <c:v>695.49670266084513</c:v>
                </c:pt>
                <c:pt idx="332">
                  <c:v>695.49670266084513</c:v>
                </c:pt>
                <c:pt idx="333">
                  <c:v>695.49670266084513</c:v>
                </c:pt>
                <c:pt idx="334">
                  <c:v>695.49670266084513</c:v>
                </c:pt>
                <c:pt idx="335">
                  <c:v>695.49670266084513</c:v>
                </c:pt>
                <c:pt idx="336">
                  <c:v>727.26342086923239</c:v>
                </c:pt>
                <c:pt idx="337">
                  <c:v>727.26342086923239</c:v>
                </c:pt>
                <c:pt idx="338">
                  <c:v>727.26342086923239</c:v>
                </c:pt>
                <c:pt idx="339">
                  <c:v>727.26342086923239</c:v>
                </c:pt>
                <c:pt idx="340">
                  <c:v>727.26342086923239</c:v>
                </c:pt>
                <c:pt idx="341">
                  <c:v>727.26342086923239</c:v>
                </c:pt>
                <c:pt idx="342">
                  <c:v>727.26342086923239</c:v>
                </c:pt>
                <c:pt idx="343">
                  <c:v>727.26342086923239</c:v>
                </c:pt>
                <c:pt idx="344">
                  <c:v>727.26342086923239</c:v>
                </c:pt>
                <c:pt idx="345">
                  <c:v>727.26342086923239</c:v>
                </c:pt>
                <c:pt idx="346">
                  <c:v>727.26342086923239</c:v>
                </c:pt>
                <c:pt idx="347">
                  <c:v>727.26342086923239</c:v>
                </c:pt>
                <c:pt idx="348">
                  <c:v>760.4810796527081</c:v>
                </c:pt>
                <c:pt idx="349">
                  <c:v>760.4810796527081</c:v>
                </c:pt>
                <c:pt idx="350">
                  <c:v>760.4810796527081</c:v>
                </c:pt>
                <c:pt idx="351">
                  <c:v>760.4810796527081</c:v>
                </c:pt>
                <c:pt idx="352">
                  <c:v>760.4810796527081</c:v>
                </c:pt>
                <c:pt idx="353">
                  <c:v>760.4810796527081</c:v>
                </c:pt>
                <c:pt idx="354">
                  <c:v>760.4810796527081</c:v>
                </c:pt>
                <c:pt idx="355">
                  <c:v>760.4810796527081</c:v>
                </c:pt>
                <c:pt idx="356">
                  <c:v>760.4810796527081</c:v>
                </c:pt>
                <c:pt idx="357">
                  <c:v>760.4810796527081</c:v>
                </c:pt>
                <c:pt idx="358">
                  <c:v>760.4810796527081</c:v>
                </c:pt>
                <c:pt idx="359">
                  <c:v>760.4810796527081</c:v>
                </c:pt>
                <c:pt idx="360">
                  <c:v>795.21595052659359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E5-48F0-BDFF-623251C3AB8A}"/>
            </c:ext>
          </c:extLst>
        </c:ser>
        <c:ser>
          <c:idx val="5"/>
          <c:order val="5"/>
          <c:tx>
            <c:strRef>
              <c:f>'Flujos Mensuales'!$P$13</c:f>
              <c:strCache>
                <c:ptCount val="1"/>
                <c:pt idx="0">
                  <c:v>Utilities y
otros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Mensuales'!$P$14:$P$374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34.75</c:v>
                </c:pt>
                <c:pt idx="2">
                  <c:v>34.75</c:v>
                </c:pt>
                <c:pt idx="3">
                  <c:v>34.75</c:v>
                </c:pt>
                <c:pt idx="4">
                  <c:v>34.75</c:v>
                </c:pt>
                <c:pt idx="5">
                  <c:v>34.75</c:v>
                </c:pt>
                <c:pt idx="6">
                  <c:v>34.75</c:v>
                </c:pt>
                <c:pt idx="7">
                  <c:v>34.75</c:v>
                </c:pt>
                <c:pt idx="8">
                  <c:v>34.75</c:v>
                </c:pt>
                <c:pt idx="9">
                  <c:v>34.75</c:v>
                </c:pt>
                <c:pt idx="10">
                  <c:v>34.75</c:v>
                </c:pt>
                <c:pt idx="11">
                  <c:v>34.75</c:v>
                </c:pt>
                <c:pt idx="12">
                  <c:v>35.097500000000004</c:v>
                </c:pt>
                <c:pt idx="13">
                  <c:v>35.097500000000004</c:v>
                </c:pt>
                <c:pt idx="14">
                  <c:v>35.097500000000004</c:v>
                </c:pt>
                <c:pt idx="15">
                  <c:v>35.097500000000004</c:v>
                </c:pt>
                <c:pt idx="16">
                  <c:v>35.097500000000004</c:v>
                </c:pt>
                <c:pt idx="17">
                  <c:v>35.097500000000004</c:v>
                </c:pt>
                <c:pt idx="18">
                  <c:v>35.097500000000004</c:v>
                </c:pt>
                <c:pt idx="19">
                  <c:v>35.097500000000004</c:v>
                </c:pt>
                <c:pt idx="20">
                  <c:v>35.097500000000004</c:v>
                </c:pt>
                <c:pt idx="21">
                  <c:v>35.097500000000004</c:v>
                </c:pt>
                <c:pt idx="22">
                  <c:v>35.097500000000004</c:v>
                </c:pt>
                <c:pt idx="23">
                  <c:v>35.097500000000004</c:v>
                </c:pt>
                <c:pt idx="24">
                  <c:v>35.448475000000002</c:v>
                </c:pt>
                <c:pt idx="25">
                  <c:v>35.448475000000002</c:v>
                </c:pt>
                <c:pt idx="26">
                  <c:v>35.448475000000002</c:v>
                </c:pt>
                <c:pt idx="27">
                  <c:v>35.448475000000002</c:v>
                </c:pt>
                <c:pt idx="28">
                  <c:v>35.448475000000002</c:v>
                </c:pt>
                <c:pt idx="29">
                  <c:v>35.448475000000002</c:v>
                </c:pt>
                <c:pt idx="30">
                  <c:v>35.448475000000002</c:v>
                </c:pt>
                <c:pt idx="31">
                  <c:v>35.448475000000002</c:v>
                </c:pt>
                <c:pt idx="32">
                  <c:v>35.448475000000002</c:v>
                </c:pt>
                <c:pt idx="33">
                  <c:v>35.448475000000002</c:v>
                </c:pt>
                <c:pt idx="34">
                  <c:v>35.448475000000002</c:v>
                </c:pt>
                <c:pt idx="35">
                  <c:v>35.448475000000002</c:v>
                </c:pt>
                <c:pt idx="36">
                  <c:v>35.802959750000007</c:v>
                </c:pt>
                <c:pt idx="37">
                  <c:v>35.802959750000007</c:v>
                </c:pt>
                <c:pt idx="38">
                  <c:v>35.802959750000007</c:v>
                </c:pt>
                <c:pt idx="39">
                  <c:v>35.802959750000007</c:v>
                </c:pt>
                <c:pt idx="40">
                  <c:v>35.802959750000007</c:v>
                </c:pt>
                <c:pt idx="41">
                  <c:v>35.802959750000007</c:v>
                </c:pt>
                <c:pt idx="42">
                  <c:v>35.802959750000007</c:v>
                </c:pt>
                <c:pt idx="43">
                  <c:v>35.802959750000007</c:v>
                </c:pt>
                <c:pt idx="44">
                  <c:v>35.802959750000007</c:v>
                </c:pt>
                <c:pt idx="45">
                  <c:v>35.802959750000007</c:v>
                </c:pt>
                <c:pt idx="46">
                  <c:v>35.802959750000007</c:v>
                </c:pt>
                <c:pt idx="47">
                  <c:v>35.802959750000007</c:v>
                </c:pt>
                <c:pt idx="48">
                  <c:v>36.160989347500006</c:v>
                </c:pt>
                <c:pt idx="49">
                  <c:v>36.160989347500006</c:v>
                </c:pt>
                <c:pt idx="50">
                  <c:v>36.160989347500006</c:v>
                </c:pt>
                <c:pt idx="51">
                  <c:v>36.160989347500006</c:v>
                </c:pt>
                <c:pt idx="52">
                  <c:v>36.160989347500006</c:v>
                </c:pt>
                <c:pt idx="53">
                  <c:v>36.160989347500006</c:v>
                </c:pt>
                <c:pt idx="54">
                  <c:v>36.160989347500006</c:v>
                </c:pt>
                <c:pt idx="55">
                  <c:v>36.160989347500006</c:v>
                </c:pt>
                <c:pt idx="56">
                  <c:v>36.160989347500006</c:v>
                </c:pt>
                <c:pt idx="57">
                  <c:v>36.160989347500006</c:v>
                </c:pt>
                <c:pt idx="58">
                  <c:v>36.160989347500006</c:v>
                </c:pt>
                <c:pt idx="59">
                  <c:v>36.160989347500006</c:v>
                </c:pt>
                <c:pt idx="60">
                  <c:v>36.522599240975005</c:v>
                </c:pt>
                <c:pt idx="61">
                  <c:v>36.522599240975005</c:v>
                </c:pt>
                <c:pt idx="62">
                  <c:v>36.522599240975005</c:v>
                </c:pt>
                <c:pt idx="63">
                  <c:v>36.522599240975005</c:v>
                </c:pt>
                <c:pt idx="64">
                  <c:v>36.522599240975005</c:v>
                </c:pt>
                <c:pt idx="65">
                  <c:v>36.522599240975005</c:v>
                </c:pt>
                <c:pt idx="66">
                  <c:v>36.522599240975005</c:v>
                </c:pt>
                <c:pt idx="67">
                  <c:v>36.522599240975005</c:v>
                </c:pt>
                <c:pt idx="68">
                  <c:v>36.522599240975005</c:v>
                </c:pt>
                <c:pt idx="69">
                  <c:v>36.522599240975005</c:v>
                </c:pt>
                <c:pt idx="70">
                  <c:v>36.522599240975005</c:v>
                </c:pt>
                <c:pt idx="71">
                  <c:v>36.522599240975005</c:v>
                </c:pt>
                <c:pt idx="72">
                  <c:v>36.88782523338476</c:v>
                </c:pt>
                <c:pt idx="73">
                  <c:v>36.88782523338476</c:v>
                </c:pt>
                <c:pt idx="74">
                  <c:v>36.88782523338476</c:v>
                </c:pt>
                <c:pt idx="75">
                  <c:v>36.88782523338476</c:v>
                </c:pt>
                <c:pt idx="76">
                  <c:v>36.88782523338476</c:v>
                </c:pt>
                <c:pt idx="77">
                  <c:v>36.88782523338476</c:v>
                </c:pt>
                <c:pt idx="78">
                  <c:v>36.88782523338476</c:v>
                </c:pt>
                <c:pt idx="79">
                  <c:v>36.88782523338476</c:v>
                </c:pt>
                <c:pt idx="80">
                  <c:v>36.88782523338476</c:v>
                </c:pt>
                <c:pt idx="81">
                  <c:v>36.88782523338476</c:v>
                </c:pt>
                <c:pt idx="82">
                  <c:v>36.88782523338476</c:v>
                </c:pt>
                <c:pt idx="83">
                  <c:v>36.88782523338476</c:v>
                </c:pt>
                <c:pt idx="84">
                  <c:v>37.25670348571861</c:v>
                </c:pt>
                <c:pt idx="85">
                  <c:v>37.25670348571861</c:v>
                </c:pt>
                <c:pt idx="86">
                  <c:v>37.25670348571861</c:v>
                </c:pt>
                <c:pt idx="87">
                  <c:v>37.25670348571861</c:v>
                </c:pt>
                <c:pt idx="88">
                  <c:v>37.25670348571861</c:v>
                </c:pt>
                <c:pt idx="89">
                  <c:v>37.25670348571861</c:v>
                </c:pt>
                <c:pt idx="90">
                  <c:v>37.25670348571861</c:v>
                </c:pt>
                <c:pt idx="91">
                  <c:v>37.25670348571861</c:v>
                </c:pt>
                <c:pt idx="92">
                  <c:v>37.25670348571861</c:v>
                </c:pt>
                <c:pt idx="93">
                  <c:v>37.25670348571861</c:v>
                </c:pt>
                <c:pt idx="94">
                  <c:v>37.25670348571861</c:v>
                </c:pt>
                <c:pt idx="95">
                  <c:v>37.25670348571861</c:v>
                </c:pt>
                <c:pt idx="96">
                  <c:v>37.629270520575794</c:v>
                </c:pt>
                <c:pt idx="97">
                  <c:v>37.629270520575794</c:v>
                </c:pt>
                <c:pt idx="98">
                  <c:v>37.629270520575794</c:v>
                </c:pt>
                <c:pt idx="99">
                  <c:v>37.629270520575794</c:v>
                </c:pt>
                <c:pt idx="100">
                  <c:v>37.629270520575794</c:v>
                </c:pt>
                <c:pt idx="101">
                  <c:v>37.629270520575794</c:v>
                </c:pt>
                <c:pt idx="102">
                  <c:v>37.629270520575794</c:v>
                </c:pt>
                <c:pt idx="103">
                  <c:v>37.629270520575794</c:v>
                </c:pt>
                <c:pt idx="104">
                  <c:v>37.629270520575794</c:v>
                </c:pt>
                <c:pt idx="105">
                  <c:v>37.629270520575794</c:v>
                </c:pt>
                <c:pt idx="106">
                  <c:v>37.629270520575794</c:v>
                </c:pt>
                <c:pt idx="107">
                  <c:v>37.629270520575794</c:v>
                </c:pt>
                <c:pt idx="108">
                  <c:v>38.00556322578155</c:v>
                </c:pt>
                <c:pt idx="109">
                  <c:v>38.00556322578155</c:v>
                </c:pt>
                <c:pt idx="110">
                  <c:v>38.00556322578155</c:v>
                </c:pt>
                <c:pt idx="111">
                  <c:v>38.00556322578155</c:v>
                </c:pt>
                <c:pt idx="112">
                  <c:v>38.00556322578155</c:v>
                </c:pt>
                <c:pt idx="113">
                  <c:v>38.00556322578155</c:v>
                </c:pt>
                <c:pt idx="114">
                  <c:v>38.00556322578155</c:v>
                </c:pt>
                <c:pt idx="115">
                  <c:v>38.00556322578155</c:v>
                </c:pt>
                <c:pt idx="116">
                  <c:v>38.00556322578155</c:v>
                </c:pt>
                <c:pt idx="117">
                  <c:v>38.00556322578155</c:v>
                </c:pt>
                <c:pt idx="118">
                  <c:v>38.00556322578155</c:v>
                </c:pt>
                <c:pt idx="119">
                  <c:v>38.00556322578155</c:v>
                </c:pt>
                <c:pt idx="120">
                  <c:v>38.385618858039372</c:v>
                </c:pt>
                <c:pt idx="121">
                  <c:v>38.385618858039372</c:v>
                </c:pt>
                <c:pt idx="122">
                  <c:v>38.385618858039372</c:v>
                </c:pt>
                <c:pt idx="123">
                  <c:v>38.385618858039372</c:v>
                </c:pt>
                <c:pt idx="124">
                  <c:v>38.385618858039372</c:v>
                </c:pt>
                <c:pt idx="125">
                  <c:v>38.385618858039372</c:v>
                </c:pt>
                <c:pt idx="126">
                  <c:v>38.385618858039372</c:v>
                </c:pt>
                <c:pt idx="127">
                  <c:v>38.385618858039372</c:v>
                </c:pt>
                <c:pt idx="128">
                  <c:v>38.385618858039372</c:v>
                </c:pt>
                <c:pt idx="129">
                  <c:v>38.385618858039372</c:v>
                </c:pt>
                <c:pt idx="130">
                  <c:v>38.385618858039372</c:v>
                </c:pt>
                <c:pt idx="131">
                  <c:v>38.385618858039372</c:v>
                </c:pt>
                <c:pt idx="132">
                  <c:v>38.769475046619768</c:v>
                </c:pt>
                <c:pt idx="133">
                  <c:v>38.769475046619768</c:v>
                </c:pt>
                <c:pt idx="134">
                  <c:v>38.769475046619768</c:v>
                </c:pt>
                <c:pt idx="135">
                  <c:v>38.769475046619768</c:v>
                </c:pt>
                <c:pt idx="136">
                  <c:v>38.769475046619768</c:v>
                </c:pt>
                <c:pt idx="137">
                  <c:v>38.769475046619768</c:v>
                </c:pt>
                <c:pt idx="138">
                  <c:v>38.769475046619768</c:v>
                </c:pt>
                <c:pt idx="139">
                  <c:v>38.769475046619768</c:v>
                </c:pt>
                <c:pt idx="140">
                  <c:v>38.769475046619768</c:v>
                </c:pt>
                <c:pt idx="141">
                  <c:v>38.769475046619768</c:v>
                </c:pt>
                <c:pt idx="142">
                  <c:v>38.769475046619768</c:v>
                </c:pt>
                <c:pt idx="143">
                  <c:v>38.769475046619768</c:v>
                </c:pt>
                <c:pt idx="144">
                  <c:v>39.157169797085963</c:v>
                </c:pt>
                <c:pt idx="145">
                  <c:v>39.157169797085963</c:v>
                </c:pt>
                <c:pt idx="146">
                  <c:v>39.157169797085963</c:v>
                </c:pt>
                <c:pt idx="147">
                  <c:v>39.157169797085963</c:v>
                </c:pt>
                <c:pt idx="148">
                  <c:v>39.157169797085963</c:v>
                </c:pt>
                <c:pt idx="149">
                  <c:v>39.157169797085963</c:v>
                </c:pt>
                <c:pt idx="150">
                  <c:v>39.157169797085963</c:v>
                </c:pt>
                <c:pt idx="151">
                  <c:v>39.157169797085963</c:v>
                </c:pt>
                <c:pt idx="152">
                  <c:v>39.157169797085963</c:v>
                </c:pt>
                <c:pt idx="153">
                  <c:v>39.157169797085963</c:v>
                </c:pt>
                <c:pt idx="154">
                  <c:v>39.157169797085963</c:v>
                </c:pt>
                <c:pt idx="155">
                  <c:v>39.157169797085963</c:v>
                </c:pt>
                <c:pt idx="156">
                  <c:v>39.548741495056824</c:v>
                </c:pt>
                <c:pt idx="157">
                  <c:v>39.548741495056824</c:v>
                </c:pt>
                <c:pt idx="158">
                  <c:v>39.548741495056824</c:v>
                </c:pt>
                <c:pt idx="159">
                  <c:v>39.548741495056824</c:v>
                </c:pt>
                <c:pt idx="160">
                  <c:v>39.548741495056824</c:v>
                </c:pt>
                <c:pt idx="161">
                  <c:v>39.548741495056824</c:v>
                </c:pt>
                <c:pt idx="162">
                  <c:v>39.548741495056824</c:v>
                </c:pt>
                <c:pt idx="163">
                  <c:v>39.548741495056824</c:v>
                </c:pt>
                <c:pt idx="164">
                  <c:v>39.548741495056824</c:v>
                </c:pt>
                <c:pt idx="165">
                  <c:v>39.548741495056824</c:v>
                </c:pt>
                <c:pt idx="166">
                  <c:v>39.548741495056824</c:v>
                </c:pt>
                <c:pt idx="167">
                  <c:v>39.548741495056824</c:v>
                </c:pt>
                <c:pt idx="168">
                  <c:v>39.944228910007396</c:v>
                </c:pt>
                <c:pt idx="169">
                  <c:v>39.944228910007396</c:v>
                </c:pt>
                <c:pt idx="170">
                  <c:v>39.944228910007396</c:v>
                </c:pt>
                <c:pt idx="171">
                  <c:v>39.944228910007396</c:v>
                </c:pt>
                <c:pt idx="172">
                  <c:v>39.944228910007396</c:v>
                </c:pt>
                <c:pt idx="173">
                  <c:v>39.944228910007396</c:v>
                </c:pt>
                <c:pt idx="174">
                  <c:v>39.944228910007396</c:v>
                </c:pt>
                <c:pt idx="175">
                  <c:v>39.944228910007396</c:v>
                </c:pt>
                <c:pt idx="176">
                  <c:v>39.944228910007396</c:v>
                </c:pt>
                <c:pt idx="177">
                  <c:v>39.944228910007396</c:v>
                </c:pt>
                <c:pt idx="178">
                  <c:v>39.944228910007396</c:v>
                </c:pt>
                <c:pt idx="179">
                  <c:v>39.944228910007396</c:v>
                </c:pt>
                <c:pt idx="180">
                  <c:v>40.343671199107469</c:v>
                </c:pt>
                <c:pt idx="181">
                  <c:v>40.343671199107469</c:v>
                </c:pt>
                <c:pt idx="182">
                  <c:v>40.343671199107469</c:v>
                </c:pt>
                <c:pt idx="183">
                  <c:v>40.343671199107469</c:v>
                </c:pt>
                <c:pt idx="184">
                  <c:v>40.343671199107469</c:v>
                </c:pt>
                <c:pt idx="185">
                  <c:v>40.343671199107469</c:v>
                </c:pt>
                <c:pt idx="186">
                  <c:v>40.343671199107469</c:v>
                </c:pt>
                <c:pt idx="187">
                  <c:v>40.343671199107469</c:v>
                </c:pt>
                <c:pt idx="188">
                  <c:v>40.343671199107469</c:v>
                </c:pt>
                <c:pt idx="189">
                  <c:v>40.343671199107469</c:v>
                </c:pt>
                <c:pt idx="190">
                  <c:v>40.343671199107469</c:v>
                </c:pt>
                <c:pt idx="191">
                  <c:v>40.343671199107469</c:v>
                </c:pt>
                <c:pt idx="192">
                  <c:v>40.747107911098546</c:v>
                </c:pt>
                <c:pt idx="193">
                  <c:v>40.747107911098546</c:v>
                </c:pt>
                <c:pt idx="194">
                  <c:v>40.747107911098546</c:v>
                </c:pt>
                <c:pt idx="195">
                  <c:v>40.747107911098546</c:v>
                </c:pt>
                <c:pt idx="196">
                  <c:v>40.747107911098546</c:v>
                </c:pt>
                <c:pt idx="197">
                  <c:v>40.747107911098546</c:v>
                </c:pt>
                <c:pt idx="198">
                  <c:v>40.747107911098546</c:v>
                </c:pt>
                <c:pt idx="199">
                  <c:v>40.747107911098546</c:v>
                </c:pt>
                <c:pt idx="200">
                  <c:v>40.747107911098546</c:v>
                </c:pt>
                <c:pt idx="201">
                  <c:v>40.747107911098546</c:v>
                </c:pt>
                <c:pt idx="202">
                  <c:v>40.747107911098546</c:v>
                </c:pt>
                <c:pt idx="203">
                  <c:v>40.747107911098546</c:v>
                </c:pt>
                <c:pt idx="204">
                  <c:v>41.154578990209536</c:v>
                </c:pt>
                <c:pt idx="205">
                  <c:v>41.154578990209536</c:v>
                </c:pt>
                <c:pt idx="206">
                  <c:v>41.154578990209536</c:v>
                </c:pt>
                <c:pt idx="207">
                  <c:v>41.154578990209536</c:v>
                </c:pt>
                <c:pt idx="208">
                  <c:v>41.154578990209536</c:v>
                </c:pt>
                <c:pt idx="209">
                  <c:v>41.154578990209536</c:v>
                </c:pt>
                <c:pt idx="210">
                  <c:v>41.154578990209536</c:v>
                </c:pt>
                <c:pt idx="211">
                  <c:v>41.154578990209536</c:v>
                </c:pt>
                <c:pt idx="212">
                  <c:v>41.154578990209536</c:v>
                </c:pt>
                <c:pt idx="213">
                  <c:v>41.154578990209536</c:v>
                </c:pt>
                <c:pt idx="214">
                  <c:v>41.154578990209536</c:v>
                </c:pt>
                <c:pt idx="215">
                  <c:v>41.154578990209536</c:v>
                </c:pt>
                <c:pt idx="216">
                  <c:v>41.566124780111629</c:v>
                </c:pt>
                <c:pt idx="217">
                  <c:v>41.566124780111629</c:v>
                </c:pt>
                <c:pt idx="218">
                  <c:v>41.566124780111629</c:v>
                </c:pt>
                <c:pt idx="219">
                  <c:v>41.566124780111629</c:v>
                </c:pt>
                <c:pt idx="220">
                  <c:v>41.566124780111629</c:v>
                </c:pt>
                <c:pt idx="221">
                  <c:v>41.566124780111629</c:v>
                </c:pt>
                <c:pt idx="222">
                  <c:v>41.566124780111629</c:v>
                </c:pt>
                <c:pt idx="223">
                  <c:v>41.566124780111629</c:v>
                </c:pt>
                <c:pt idx="224">
                  <c:v>41.566124780111629</c:v>
                </c:pt>
                <c:pt idx="225">
                  <c:v>41.566124780111629</c:v>
                </c:pt>
                <c:pt idx="226">
                  <c:v>41.566124780111629</c:v>
                </c:pt>
                <c:pt idx="227">
                  <c:v>41.566124780111629</c:v>
                </c:pt>
                <c:pt idx="228">
                  <c:v>41.981786027912747</c:v>
                </c:pt>
                <c:pt idx="229">
                  <c:v>41.981786027912747</c:v>
                </c:pt>
                <c:pt idx="230">
                  <c:v>41.981786027912747</c:v>
                </c:pt>
                <c:pt idx="231">
                  <c:v>41.981786027912747</c:v>
                </c:pt>
                <c:pt idx="232">
                  <c:v>41.981786027912747</c:v>
                </c:pt>
                <c:pt idx="233">
                  <c:v>41.981786027912747</c:v>
                </c:pt>
                <c:pt idx="234">
                  <c:v>41.981786027912747</c:v>
                </c:pt>
                <c:pt idx="235">
                  <c:v>41.981786027912747</c:v>
                </c:pt>
                <c:pt idx="236">
                  <c:v>41.981786027912747</c:v>
                </c:pt>
                <c:pt idx="237">
                  <c:v>41.981786027912747</c:v>
                </c:pt>
                <c:pt idx="238">
                  <c:v>41.981786027912747</c:v>
                </c:pt>
                <c:pt idx="239">
                  <c:v>41.981786027912747</c:v>
                </c:pt>
                <c:pt idx="240">
                  <c:v>42.401603888191879</c:v>
                </c:pt>
                <c:pt idx="241">
                  <c:v>42.401603888191879</c:v>
                </c:pt>
                <c:pt idx="242">
                  <c:v>42.401603888191879</c:v>
                </c:pt>
                <c:pt idx="243">
                  <c:v>42.401603888191879</c:v>
                </c:pt>
                <c:pt idx="244">
                  <c:v>42.401603888191879</c:v>
                </c:pt>
                <c:pt idx="245">
                  <c:v>42.401603888191879</c:v>
                </c:pt>
                <c:pt idx="246">
                  <c:v>42.401603888191879</c:v>
                </c:pt>
                <c:pt idx="247">
                  <c:v>42.401603888191879</c:v>
                </c:pt>
                <c:pt idx="248">
                  <c:v>42.401603888191879</c:v>
                </c:pt>
                <c:pt idx="249">
                  <c:v>42.401603888191879</c:v>
                </c:pt>
                <c:pt idx="250">
                  <c:v>42.401603888191879</c:v>
                </c:pt>
                <c:pt idx="251">
                  <c:v>42.401603888191879</c:v>
                </c:pt>
                <c:pt idx="252">
                  <c:v>42.825619927073795</c:v>
                </c:pt>
                <c:pt idx="253">
                  <c:v>42.825619927073795</c:v>
                </c:pt>
                <c:pt idx="254">
                  <c:v>42.825619927073795</c:v>
                </c:pt>
                <c:pt idx="255">
                  <c:v>42.825619927073795</c:v>
                </c:pt>
                <c:pt idx="256">
                  <c:v>42.825619927073795</c:v>
                </c:pt>
                <c:pt idx="257">
                  <c:v>42.825619927073795</c:v>
                </c:pt>
                <c:pt idx="258">
                  <c:v>42.825619927073795</c:v>
                </c:pt>
                <c:pt idx="259">
                  <c:v>42.825619927073795</c:v>
                </c:pt>
                <c:pt idx="260">
                  <c:v>42.825619927073795</c:v>
                </c:pt>
                <c:pt idx="261">
                  <c:v>42.825619927073795</c:v>
                </c:pt>
                <c:pt idx="262">
                  <c:v>42.825619927073795</c:v>
                </c:pt>
                <c:pt idx="263">
                  <c:v>42.825619927073795</c:v>
                </c:pt>
                <c:pt idx="264">
                  <c:v>43.253876126344529</c:v>
                </c:pt>
                <c:pt idx="265">
                  <c:v>43.253876126344529</c:v>
                </c:pt>
                <c:pt idx="266">
                  <c:v>43.253876126344529</c:v>
                </c:pt>
                <c:pt idx="267">
                  <c:v>43.253876126344529</c:v>
                </c:pt>
                <c:pt idx="268">
                  <c:v>43.253876126344529</c:v>
                </c:pt>
                <c:pt idx="269">
                  <c:v>43.253876126344529</c:v>
                </c:pt>
                <c:pt idx="270">
                  <c:v>43.253876126344529</c:v>
                </c:pt>
                <c:pt idx="271">
                  <c:v>43.253876126344529</c:v>
                </c:pt>
                <c:pt idx="272">
                  <c:v>43.253876126344529</c:v>
                </c:pt>
                <c:pt idx="273">
                  <c:v>43.253876126344529</c:v>
                </c:pt>
                <c:pt idx="274">
                  <c:v>43.253876126344529</c:v>
                </c:pt>
                <c:pt idx="275">
                  <c:v>43.253876126344529</c:v>
                </c:pt>
                <c:pt idx="276">
                  <c:v>43.686414887607981</c:v>
                </c:pt>
                <c:pt idx="277">
                  <c:v>43.686414887607981</c:v>
                </c:pt>
                <c:pt idx="278">
                  <c:v>43.686414887607981</c:v>
                </c:pt>
                <c:pt idx="279">
                  <c:v>43.686414887607981</c:v>
                </c:pt>
                <c:pt idx="280">
                  <c:v>43.686414887607981</c:v>
                </c:pt>
                <c:pt idx="281">
                  <c:v>43.686414887607981</c:v>
                </c:pt>
                <c:pt idx="282">
                  <c:v>43.686414887607981</c:v>
                </c:pt>
                <c:pt idx="283">
                  <c:v>43.686414887607981</c:v>
                </c:pt>
                <c:pt idx="284">
                  <c:v>43.686414887607981</c:v>
                </c:pt>
                <c:pt idx="285">
                  <c:v>43.686414887607981</c:v>
                </c:pt>
                <c:pt idx="286">
                  <c:v>43.686414887607981</c:v>
                </c:pt>
                <c:pt idx="287">
                  <c:v>43.686414887607981</c:v>
                </c:pt>
                <c:pt idx="288">
                  <c:v>44.123279036484064</c:v>
                </c:pt>
                <c:pt idx="289">
                  <c:v>44.123279036484064</c:v>
                </c:pt>
                <c:pt idx="290">
                  <c:v>44.123279036484064</c:v>
                </c:pt>
                <c:pt idx="291">
                  <c:v>44.123279036484064</c:v>
                </c:pt>
                <c:pt idx="292">
                  <c:v>44.123279036484064</c:v>
                </c:pt>
                <c:pt idx="293">
                  <c:v>44.123279036484064</c:v>
                </c:pt>
                <c:pt idx="294">
                  <c:v>44.123279036484064</c:v>
                </c:pt>
                <c:pt idx="295">
                  <c:v>44.123279036484064</c:v>
                </c:pt>
                <c:pt idx="296">
                  <c:v>44.123279036484064</c:v>
                </c:pt>
                <c:pt idx="297">
                  <c:v>44.123279036484064</c:v>
                </c:pt>
                <c:pt idx="298">
                  <c:v>44.123279036484064</c:v>
                </c:pt>
                <c:pt idx="299">
                  <c:v>44.123279036484064</c:v>
                </c:pt>
                <c:pt idx="300">
                  <c:v>44.564511826848907</c:v>
                </c:pt>
                <c:pt idx="301">
                  <c:v>44.564511826848907</c:v>
                </c:pt>
                <c:pt idx="302">
                  <c:v>44.564511826848907</c:v>
                </c:pt>
                <c:pt idx="303">
                  <c:v>44.564511826848907</c:v>
                </c:pt>
                <c:pt idx="304">
                  <c:v>44.564511826848907</c:v>
                </c:pt>
                <c:pt idx="305">
                  <c:v>44.564511826848907</c:v>
                </c:pt>
                <c:pt idx="306">
                  <c:v>44.564511826848907</c:v>
                </c:pt>
                <c:pt idx="307">
                  <c:v>44.564511826848907</c:v>
                </c:pt>
                <c:pt idx="308">
                  <c:v>44.564511826848907</c:v>
                </c:pt>
                <c:pt idx="309">
                  <c:v>44.564511826848907</c:v>
                </c:pt>
                <c:pt idx="310">
                  <c:v>44.564511826848907</c:v>
                </c:pt>
                <c:pt idx="311">
                  <c:v>44.564511826848907</c:v>
                </c:pt>
                <c:pt idx="312">
                  <c:v>45.010156945117394</c:v>
                </c:pt>
                <c:pt idx="313">
                  <c:v>45.010156945117394</c:v>
                </c:pt>
                <c:pt idx="314">
                  <c:v>45.010156945117394</c:v>
                </c:pt>
                <c:pt idx="315">
                  <c:v>45.010156945117394</c:v>
                </c:pt>
                <c:pt idx="316">
                  <c:v>45.010156945117394</c:v>
                </c:pt>
                <c:pt idx="317">
                  <c:v>45.010156945117394</c:v>
                </c:pt>
                <c:pt idx="318">
                  <c:v>45.010156945117394</c:v>
                </c:pt>
                <c:pt idx="319">
                  <c:v>45.010156945117394</c:v>
                </c:pt>
                <c:pt idx="320">
                  <c:v>45.010156945117394</c:v>
                </c:pt>
                <c:pt idx="321">
                  <c:v>45.010156945117394</c:v>
                </c:pt>
                <c:pt idx="322">
                  <c:v>45.010156945117394</c:v>
                </c:pt>
                <c:pt idx="323">
                  <c:v>45.010156945117394</c:v>
                </c:pt>
                <c:pt idx="324">
                  <c:v>45.460258514568572</c:v>
                </c:pt>
                <c:pt idx="325">
                  <c:v>45.460258514568572</c:v>
                </c:pt>
                <c:pt idx="326">
                  <c:v>45.460258514568572</c:v>
                </c:pt>
                <c:pt idx="327">
                  <c:v>45.460258514568572</c:v>
                </c:pt>
                <c:pt idx="328">
                  <c:v>45.460258514568572</c:v>
                </c:pt>
                <c:pt idx="329">
                  <c:v>45.460258514568572</c:v>
                </c:pt>
                <c:pt idx="330">
                  <c:v>45.460258514568572</c:v>
                </c:pt>
                <c:pt idx="331">
                  <c:v>45.460258514568572</c:v>
                </c:pt>
                <c:pt idx="332">
                  <c:v>45.460258514568572</c:v>
                </c:pt>
                <c:pt idx="333">
                  <c:v>45.460258514568572</c:v>
                </c:pt>
                <c:pt idx="334">
                  <c:v>45.460258514568572</c:v>
                </c:pt>
                <c:pt idx="335">
                  <c:v>45.460258514568572</c:v>
                </c:pt>
                <c:pt idx="336">
                  <c:v>45.914861099714251</c:v>
                </c:pt>
                <c:pt idx="337">
                  <c:v>45.914861099714251</c:v>
                </c:pt>
                <c:pt idx="338">
                  <c:v>45.914861099714251</c:v>
                </c:pt>
                <c:pt idx="339">
                  <c:v>45.914861099714251</c:v>
                </c:pt>
                <c:pt idx="340">
                  <c:v>45.914861099714251</c:v>
                </c:pt>
                <c:pt idx="341">
                  <c:v>45.914861099714251</c:v>
                </c:pt>
                <c:pt idx="342">
                  <c:v>45.914861099714251</c:v>
                </c:pt>
                <c:pt idx="343">
                  <c:v>45.914861099714251</c:v>
                </c:pt>
                <c:pt idx="344">
                  <c:v>45.914861099714251</c:v>
                </c:pt>
                <c:pt idx="345">
                  <c:v>45.914861099714251</c:v>
                </c:pt>
                <c:pt idx="346">
                  <c:v>45.914861099714251</c:v>
                </c:pt>
                <c:pt idx="347">
                  <c:v>45.914861099714251</c:v>
                </c:pt>
                <c:pt idx="348">
                  <c:v>46.374009710711398</c:v>
                </c:pt>
                <c:pt idx="349">
                  <c:v>46.374009710711398</c:v>
                </c:pt>
                <c:pt idx="350">
                  <c:v>46.374009710711398</c:v>
                </c:pt>
                <c:pt idx="351">
                  <c:v>46.374009710711398</c:v>
                </c:pt>
                <c:pt idx="352">
                  <c:v>46.374009710711398</c:v>
                </c:pt>
                <c:pt idx="353">
                  <c:v>46.374009710711398</c:v>
                </c:pt>
                <c:pt idx="354">
                  <c:v>46.374009710711398</c:v>
                </c:pt>
                <c:pt idx="355">
                  <c:v>46.374009710711398</c:v>
                </c:pt>
                <c:pt idx="356">
                  <c:v>46.374009710711398</c:v>
                </c:pt>
                <c:pt idx="357">
                  <c:v>46.374009710711398</c:v>
                </c:pt>
                <c:pt idx="358">
                  <c:v>46.374009710711398</c:v>
                </c:pt>
                <c:pt idx="359">
                  <c:v>46.374009710711398</c:v>
                </c:pt>
                <c:pt idx="360">
                  <c:v>46.837749807818511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7E5-48F0-BDFF-623251C3A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71087"/>
        <c:axId val="25267727"/>
      </c:areaChart>
      <c:catAx>
        <c:axId val="25271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7727"/>
        <c:crosses val="autoZero"/>
        <c:auto val="1"/>
        <c:lblAlgn val="ctr"/>
        <c:lblOffset val="100"/>
        <c:noMultiLvlLbl val="0"/>
      </c:catAx>
      <c:valAx>
        <c:axId val="252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7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Pago Anuales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Anuales'!$I$8</c:f>
              <c:strCache>
                <c:ptCount val="1"/>
                <c:pt idx="0">
                  <c:v>Pago Annual Mortgage
(Intereses, Capital, impuestos, seguro del credito)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Anuales'!$I$9:$I$49</c:f>
              <c:numCache>
                <c:formatCode>_("$"* #,##0.00_);_("$"* \(#,##0.00\);_("$"* "-"??_);_(@_)</c:formatCode>
                <c:ptCount val="41"/>
                <c:pt idx="0">
                  <c:v>23262.803930489667</c:v>
                </c:pt>
                <c:pt idx="1">
                  <c:v>25406.424128969655</c:v>
                </c:pt>
                <c:pt idx="2">
                  <c:v>22963.722657374281</c:v>
                </c:pt>
                <c:pt idx="3">
                  <c:v>22498.595882471422</c:v>
                </c:pt>
                <c:pt idx="4">
                  <c:v>22528.013623048566</c:v>
                </c:pt>
                <c:pt idx="5">
                  <c:v>22557.633407294121</c:v>
                </c:pt>
                <c:pt idx="6">
                  <c:v>22587.456622862028</c:v>
                </c:pt>
                <c:pt idx="7">
                  <c:v>22617.484666936823</c:v>
                </c:pt>
                <c:pt idx="8">
                  <c:v>22647.718946298919</c:v>
                </c:pt>
                <c:pt idx="9">
                  <c:v>22678.16087739071</c:v>
                </c:pt>
                <c:pt idx="10">
                  <c:v>22708.811886382813</c:v>
                </c:pt>
                <c:pt idx="11">
                  <c:v>22739.673409240902</c:v>
                </c:pt>
                <c:pt idx="12">
                  <c:v>22770.746891792995</c:v>
                </c:pt>
                <c:pt idx="13">
                  <c:v>22802.03378979722</c:v>
                </c:pt>
                <c:pt idx="14">
                  <c:v>22833.535569009935</c:v>
                </c:pt>
                <c:pt idx="15">
                  <c:v>22865.253705254439</c:v>
                </c:pt>
                <c:pt idx="16">
                  <c:v>22897.189684490189</c:v>
                </c:pt>
                <c:pt idx="17">
                  <c:v>22929.345002882259</c:v>
                </c:pt>
                <c:pt idx="18">
                  <c:v>22961.721166871575</c:v>
                </c:pt>
                <c:pt idx="19">
                  <c:v>22994.319693245416</c:v>
                </c:pt>
                <c:pt idx="20">
                  <c:v>23027.142109208453</c:v>
                </c:pt>
                <c:pt idx="21">
                  <c:v>23060.189952454424</c:v>
                </c:pt>
                <c:pt idx="22">
                  <c:v>23093.464771237996</c:v>
                </c:pt>
                <c:pt idx="23">
                  <c:v>23126.968124447423</c:v>
                </c:pt>
                <c:pt idx="24">
                  <c:v>23160.701581677578</c:v>
                </c:pt>
                <c:pt idx="25">
                  <c:v>23194.666723303377</c:v>
                </c:pt>
                <c:pt idx="26">
                  <c:v>23228.865140553953</c:v>
                </c:pt>
                <c:pt idx="27">
                  <c:v>23263.298435587105</c:v>
                </c:pt>
                <c:pt idx="28">
                  <c:v>23297.968221564443</c:v>
                </c:pt>
                <c:pt idx="29">
                  <c:v>23332.876122726855</c:v>
                </c:pt>
                <c:pt idx="30">
                  <c:v>1947.3353145392243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B-4E85-9EBD-82F096AA17F2}"/>
            </c:ext>
          </c:extLst>
        </c:ser>
        <c:ser>
          <c:idx val="1"/>
          <c:order val="1"/>
          <c:tx>
            <c:strRef>
              <c:f>'Flujos Anuales'!$J$8</c:f>
              <c:strCache>
                <c:ptCount val="1"/>
                <c:pt idx="0">
                  <c:v>Mantenimiento
Mayor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Anuales'!$J$9:$J$49</c:f>
              <c:numCache>
                <c:formatCode>_("$"* #,##0.00_);_("$"* \(#,##0.00\);_("$"* "-"??_);_(@_)</c:formatCode>
                <c:ptCount val="41"/>
                <c:pt idx="0">
                  <c:v>0</c:v>
                </c:pt>
                <c:pt idx="1">
                  <c:v>2613.1414883766474</c:v>
                </c:pt>
                <c:pt idx="2">
                  <c:v>2732.4963738596712</c:v>
                </c:pt>
                <c:pt idx="3">
                  <c:v>2857.302777659645</c:v>
                </c:pt>
                <c:pt idx="4">
                  <c:v>2987.8096971413574</c:v>
                </c:pt>
                <c:pt idx="5">
                  <c:v>3124.2775025906949</c:v>
                </c:pt>
                <c:pt idx="6">
                  <c:v>3266.9784566712783</c:v>
                </c:pt>
                <c:pt idx="7">
                  <c:v>3416.1972576072126</c:v>
                </c:pt>
                <c:pt idx="8">
                  <c:v>3572.2316071756436</c:v>
                </c:pt>
                <c:pt idx="9">
                  <c:v>3735.392804642282</c:v>
                </c:pt>
                <c:pt idx="10">
                  <c:v>3906.0063678248703</c:v>
                </c:pt>
                <c:pt idx="11">
                  <c:v>4084.4126825236262</c:v>
                </c:pt>
                <c:pt idx="12">
                  <c:v>4270.9676816143437</c:v>
                </c:pt>
                <c:pt idx="13">
                  <c:v>4466.043555158969</c:v>
                </c:pt>
                <c:pt idx="14">
                  <c:v>4670.0294929503971</c:v>
                </c:pt>
                <c:pt idx="15">
                  <c:v>4883.3324609728843</c:v>
                </c:pt>
                <c:pt idx="16">
                  <c:v>5106.3780133272021</c:v>
                </c:pt>
                <c:pt idx="17">
                  <c:v>5339.6111412403488</c:v>
                </c:pt>
                <c:pt idx="18">
                  <c:v>5583.4971608536753</c:v>
                </c:pt>
                <c:pt idx="19">
                  <c:v>5838.5226415606066</c:v>
                </c:pt>
                <c:pt idx="20">
                  <c:v>6105.196376746072</c:v>
                </c:pt>
                <c:pt idx="21">
                  <c:v>6384.0503988643241</c:v>
                </c:pt>
                <c:pt idx="22">
                  <c:v>6675.6410408802913</c:v>
                </c:pt>
                <c:pt idx="23">
                  <c:v>6980.5500461921374</c:v>
                </c:pt>
                <c:pt idx="24">
                  <c:v>7299.3857292493794</c:v>
                </c:pt>
                <c:pt idx="25">
                  <c:v>7632.7841891820644</c:v>
                </c:pt>
                <c:pt idx="26">
                  <c:v>7981.4105788623301</c:v>
                </c:pt>
                <c:pt idx="27">
                  <c:v>8345.9604319301416</c:v>
                </c:pt>
                <c:pt idx="28">
                  <c:v>8727.1610504307882</c:v>
                </c:pt>
                <c:pt idx="29">
                  <c:v>9125.7729558324972</c:v>
                </c:pt>
                <c:pt idx="30">
                  <c:v>9542.5914063191231</c:v>
                </c:pt>
                <c:pt idx="31">
                  <c:v>9978.4479833849327</c:v>
                </c:pt>
                <c:pt idx="32">
                  <c:v>10434.212250896942</c:v>
                </c:pt>
                <c:pt idx="33">
                  <c:v>10910.793489934646</c:v>
                </c:pt>
                <c:pt idx="34">
                  <c:v>11409.142512868371</c:v>
                </c:pt>
                <c:pt idx="35">
                  <c:v>11930.25356029537</c:v>
                </c:pt>
                <c:pt idx="36">
                  <c:v>12475.166284618264</c:v>
                </c:pt>
                <c:pt idx="37">
                  <c:v>13044.967824223104</c:v>
                </c:pt>
                <c:pt idx="38">
                  <c:v>13640.794972395292</c:v>
                </c:pt>
                <c:pt idx="39">
                  <c:v>14263.836445300407</c:v>
                </c:pt>
                <c:pt idx="40">
                  <c:v>14915.335253554769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B-4E85-9EBD-82F096AA17F2}"/>
            </c:ext>
          </c:extLst>
        </c:ser>
        <c:ser>
          <c:idx val="2"/>
          <c:order val="2"/>
          <c:tx>
            <c:strRef>
              <c:f>'Flujos Anuales'!$K$8</c:f>
              <c:strCache>
                <c:ptCount val="1"/>
                <c:pt idx="0">
                  <c:v>Utilities y
otros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Anuales'!$K$9:$K$49</c:f>
              <c:numCache>
                <c:formatCode>_("$"* #,##0.00_);_("$"* \(#,##0.00\);_("$"* "-"??_);_(@_)</c:formatCode>
                <c:ptCount val="41"/>
                <c:pt idx="0">
                  <c:v>417</c:v>
                </c:pt>
                <c:pt idx="1">
                  <c:v>421.17</c:v>
                </c:pt>
                <c:pt idx="2">
                  <c:v>425.38170000000002</c:v>
                </c:pt>
                <c:pt idx="3">
                  <c:v>429.63551700000005</c:v>
                </c:pt>
                <c:pt idx="4">
                  <c:v>433.93187217000008</c:v>
                </c:pt>
                <c:pt idx="5">
                  <c:v>438.27119089170009</c:v>
                </c:pt>
                <c:pt idx="6">
                  <c:v>442.65390280061712</c:v>
                </c:pt>
                <c:pt idx="7">
                  <c:v>447.08044182862329</c:v>
                </c:pt>
                <c:pt idx="8">
                  <c:v>451.55124624690956</c:v>
                </c:pt>
                <c:pt idx="9">
                  <c:v>456.06675870937863</c:v>
                </c:pt>
                <c:pt idx="10">
                  <c:v>460.62742629647244</c:v>
                </c:pt>
                <c:pt idx="11">
                  <c:v>465.23370055943718</c:v>
                </c:pt>
                <c:pt idx="12">
                  <c:v>469.88603756503159</c:v>
                </c:pt>
                <c:pt idx="13">
                  <c:v>474.58489794068191</c:v>
                </c:pt>
                <c:pt idx="14">
                  <c:v>479.33074692008876</c:v>
                </c:pt>
                <c:pt idx="15">
                  <c:v>484.12405438928965</c:v>
                </c:pt>
                <c:pt idx="16">
                  <c:v>488.96529493318258</c:v>
                </c:pt>
                <c:pt idx="17">
                  <c:v>493.85494788251441</c:v>
                </c:pt>
                <c:pt idx="18">
                  <c:v>498.79349736133958</c:v>
                </c:pt>
                <c:pt idx="19">
                  <c:v>503.78143233495297</c:v>
                </c:pt>
                <c:pt idx="20">
                  <c:v>508.81924665830252</c:v>
                </c:pt>
                <c:pt idx="21">
                  <c:v>513.90743912488551</c:v>
                </c:pt>
                <c:pt idx="22">
                  <c:v>519.04651351613438</c:v>
                </c:pt>
                <c:pt idx="23">
                  <c:v>524.23697865129577</c:v>
                </c:pt>
                <c:pt idx="24">
                  <c:v>529.47934843780877</c:v>
                </c:pt>
                <c:pt idx="25">
                  <c:v>534.77414192218691</c:v>
                </c:pt>
                <c:pt idx="26">
                  <c:v>540.12188334140876</c:v>
                </c:pt>
                <c:pt idx="27">
                  <c:v>545.52310217482284</c:v>
                </c:pt>
                <c:pt idx="28">
                  <c:v>550.97833319657104</c:v>
                </c:pt>
                <c:pt idx="29">
                  <c:v>556.48811652853681</c:v>
                </c:pt>
                <c:pt idx="30">
                  <c:v>562.05299769382214</c:v>
                </c:pt>
                <c:pt idx="31">
                  <c:v>567.67352767076034</c:v>
                </c:pt>
                <c:pt idx="32">
                  <c:v>573.35026294746797</c:v>
                </c:pt>
                <c:pt idx="33">
                  <c:v>579.0837655769426</c:v>
                </c:pt>
                <c:pt idx="34">
                  <c:v>584.87460323271205</c:v>
                </c:pt>
                <c:pt idx="35">
                  <c:v>590.72334926503913</c:v>
                </c:pt>
                <c:pt idx="36">
                  <c:v>596.63058275768958</c:v>
                </c:pt>
                <c:pt idx="37">
                  <c:v>602.59688858526647</c:v>
                </c:pt>
                <c:pt idx="38">
                  <c:v>608.62285747111912</c:v>
                </c:pt>
                <c:pt idx="39">
                  <c:v>614.7090860458303</c:v>
                </c:pt>
                <c:pt idx="40">
                  <c:v>620.85617690628862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B-4E85-9EBD-82F096AA1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181263"/>
        <c:axId val="1849181743"/>
      </c:areaChart>
      <c:catAx>
        <c:axId val="184918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81743"/>
        <c:crosses val="autoZero"/>
        <c:auto val="1"/>
        <c:lblAlgn val="ctr"/>
        <c:lblOffset val="100"/>
        <c:noMultiLvlLbl val="0"/>
      </c:catAx>
      <c:valAx>
        <c:axId val="18491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8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Opciones de Inversion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'Opciones de Inversion'!$H$12</c:f>
              <c:strCache>
                <c:ptCount val="1"/>
                <c:pt idx="0">
                  <c:v>Invertir
100%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0"/>
              <c:layout>
                <c:manualLayout>
                  <c:x val="-3.8155802861685212E-2"/>
                  <c:y val="-3.665988955847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A4D-4491-993E-FDDBF21AF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'Opciones de Inversion'!$H$13:$H$43</c:f>
              <c:numCache>
                <c:formatCode>_("$"* #,##0.00_);_("$"* \(#,##0.00\);_("$"* "-"??_);_(@_)</c:formatCode>
                <c:ptCount val="31"/>
                <c:pt idx="0">
                  <c:v>70411.103930489669</c:v>
                </c:pt>
                <c:pt idx="1">
                  <c:v>104203.0834465532</c:v>
                </c:pt>
                <c:pt idx="2">
                  <c:v>138244.11851972519</c:v>
                </c:pt>
                <c:pt idx="3">
                  <c:v>174536.20570435538</c:v>
                </c:pt>
                <c:pt idx="4">
                  <c:v>213750.7125302463</c:v>
                </c:pt>
                <c:pt idx="5">
                  <c:v>256115.94878332154</c:v>
                </c:pt>
                <c:pt idx="6">
                  <c:v>301877.84987318789</c:v>
                </c:pt>
                <c:pt idx="7">
                  <c:v>351301.32882992289</c:v>
                </c:pt>
                <c:pt idx="8">
                  <c:v>404671.73162071849</c:v>
                </c:pt>
                <c:pt idx="9">
                  <c:v>462296.40366463549</c:v>
                </c:pt>
                <c:pt idx="10">
                  <c:v>524506.37602365203</c:v>
                </c:pt>
                <c:pt idx="11">
                  <c:v>591658.1803937736</c:v>
                </c:pt>
                <c:pt idx="12">
                  <c:v>664135.80271467275</c:v>
                </c:pt>
                <c:pt idx="13">
                  <c:v>742352.78596388479</c:v>
                </c:pt>
                <c:pt idx="14">
                  <c:v>826754.49350602052</c:v>
                </c:pt>
                <c:pt idx="15">
                  <c:v>917820.54523309483</c:v>
                </c:pt>
                <c:pt idx="16">
                  <c:v>1016067.4396635606</c:v>
                </c:pt>
                <c:pt idx="17">
                  <c:v>1122051.3761699963</c:v>
                </c:pt>
                <c:pt idx="18">
                  <c:v>1236371.2925840027</c:v>
                </c:pt>
                <c:pt idx="19">
                  <c:v>1359672.134587528</c:v>
                </c:pt>
                <c:pt idx="20">
                  <c:v>1492648.3745487931</c:v>
                </c:pt>
                <c:pt idx="21">
                  <c:v>1636047.7988049451</c:v>
                </c:pt>
                <c:pt idx="22">
                  <c:v>1790675.5838397555</c:v>
                </c:pt>
                <c:pt idx="23">
                  <c:v>1957398.6833608679</c:v>
                </c:pt>
                <c:pt idx="24">
                  <c:v>2137150.5499556586</c:v>
                </c:pt>
                <c:pt idx="25">
                  <c:v>2330936.2168066963</c:v>
                </c:pt>
                <c:pt idx="26">
                  <c:v>2539837.7668867633</c:v>
                </c:pt>
                <c:pt idx="27">
                  <c:v>2765020.2191398498</c:v>
                </c:pt>
                <c:pt idx="28">
                  <c:v>3007737.8633996705</c:v>
                </c:pt>
                <c:pt idx="29">
                  <c:v>3269341.0782131334</c:v>
                </c:pt>
                <c:pt idx="30">
                  <c:v>3529862.9798758836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4D-4491-993E-FDDBF21AF9BA}"/>
            </c:ext>
          </c:extLst>
        </c:ser>
        <c:ser>
          <c:idx val="1"/>
          <c:order val="1"/>
          <c:tx>
            <c:strRef>
              <c:f>'Opciones de Inversion'!$E$12</c:f>
              <c:strCache>
                <c:ptCount val="1"/>
                <c:pt idx="0">
                  <c:v>Home Equity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30"/>
              <c:layout>
                <c:manualLayout>
                  <c:x val="-2.1197668256491787E-3"/>
                  <c:y val="6.1099815930790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A4D-4491-993E-FDDBF21AF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'Opciones de Inversion'!$E$13:$E$43</c:f>
              <c:numCache>
                <c:formatCode>_("$"* #,##0.00_);_("$"* \(#,##0.00\);_("$"* "-"??_);_(@_)</c:formatCode>
                <c:ptCount val="31"/>
                <c:pt idx="0">
                  <c:v>23859.58208144817</c:v>
                </c:pt>
                <c:pt idx="1">
                  <c:v>37744.5202030488</c:v>
                </c:pt>
                <c:pt idx="2">
                  <c:v>52329.411592401564</c:v>
                </c:pt>
                <c:pt idx="3">
                  <c:v>67650.980359049601</c:v>
                </c:pt>
                <c:pt idx="4">
                  <c:v>83747.97163664925</c:v>
                </c:pt>
                <c:pt idx="5">
                  <c:v>100661.26873584808</c:v>
                </c:pt>
                <c:pt idx="6">
                  <c:v>118434.01744399749</c:v>
                </c:pt>
                <c:pt idx="7">
                  <c:v>137111.75792795702</c:v>
                </c:pt>
                <c:pt idx="8">
                  <c:v>156742.56472647045</c:v>
                </c:pt>
                <c:pt idx="9">
                  <c:v>177377.19535087713</c:v>
                </c:pt>
                <c:pt idx="10">
                  <c:v>199069.24804740935</c:v>
                </c:pt>
                <c:pt idx="11">
                  <c:v>221875.32931116442</c:v>
                </c:pt>
                <c:pt idx="12">
                  <c:v>245855.23178120272</c:v>
                </c:pt>
                <c:pt idx="13">
                  <c:v>271072.1231882752</c:v>
                </c:pt>
                <c:pt idx="14">
                  <c:v>297592.74707162404</c:v>
                </c:pt>
                <c:pt idx="15">
                  <c:v>325487.63602931617</c:v>
                </c:pt>
                <c:pt idx="16">
                  <c:v>354831.33831789659</c:v>
                </c:pt>
                <c:pt idx="17">
                  <c:v>385702.65867199091</c:v>
                </c:pt>
                <c:pt idx="18">
                  <c:v>418184.91427312</c:v>
                </c:pt>
                <c:pt idx="19">
                  <c:v>452366.20685965288</c:v>
                </c:pt>
                <c:pt idx="20">
                  <c:v>488339.71203681978</c:v>
                </c:pt>
                <c:pt idx="21">
                  <c:v>526203.98691732576</c:v>
                </c:pt>
                <c:pt idx="22">
                  <c:v>566063.29729967634</c:v>
                </c:pt>
                <c:pt idx="23">
                  <c:v>608027.96567320311</c:v>
                </c:pt>
                <c:pt idx="24">
                  <c:v>652214.74142631795</c:v>
                </c:pt>
                <c:pt idx="25">
                  <c:v>698747.19472814025</c:v>
                </c:pt>
                <c:pt idx="26">
                  <c:v>747756.13565376028</c:v>
                </c:pt>
                <c:pt idx="27">
                  <c:v>799380.06023046619</c:v>
                </c:pt>
                <c:pt idx="28">
                  <c:v>853765.62519678182</c:v>
                </c:pt>
                <c:pt idx="29">
                  <c:v>911068.1533886448</c:v>
                </c:pt>
                <c:pt idx="30">
                  <c:v>954259.14063191228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4D-4491-993E-FDDBF21AF9BA}"/>
            </c:ext>
          </c:extLst>
        </c:ser>
        <c:ser>
          <c:idx val="2"/>
          <c:order val="2"/>
          <c:tx>
            <c:strRef>
              <c:f>'Opciones de Inversion'!$M$12</c:f>
              <c:strCache>
                <c:ptCount val="1"/>
                <c:pt idx="0">
                  <c:v>Rentar e
Invertir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dLbls>
            <c:dLbl>
              <c:idx val="30"/>
              <c:layout>
                <c:manualLayout>
                  <c:x val="-3.6036036036036188E-2"/>
                  <c:y val="-3.665988955847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A4D-4491-993E-FDDBF21AF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'Opciones de Inversion'!$M$13:$M$43</c:f>
              <c:numCache>
                <c:formatCode>_("$"* #,##0.00_);_("$"* \(#,##0.00\);_("$"* "-"??_);_(@_)</c:formatCode>
                <c:ptCount val="31"/>
                <c:pt idx="0">
                  <c:v>54811.103930489669</c:v>
                </c:pt>
                <c:pt idx="1">
                  <c:v>71349.483446553189</c:v>
                </c:pt>
                <c:pt idx="2">
                  <c:v>86343.6049197252</c:v>
                </c:pt>
                <c:pt idx="3">
                  <c:v>101644.71187075539</c:v>
                </c:pt>
                <c:pt idx="4">
                  <c:v>117761.52772929272</c:v>
                </c:pt>
                <c:pt idx="5">
                  <c:v>134746.91037841549</c:v>
                </c:pt>
                <c:pt idx="6">
                  <c:v>152657.5487236566</c:v>
                </c:pt>
                <c:pt idx="7">
                  <c:v>171554.25249239919</c:v>
                </c:pt>
                <c:pt idx="8">
                  <c:v>191502.2642118962</c:v>
                </c:pt>
                <c:pt idx="9">
                  <c:v>212571.59506500646</c:v>
                </c:pt>
                <c:pt idx="10">
                  <c:v>234837.38645268281</c:v>
                </c:pt>
                <c:pt idx="11">
                  <c:v>258380.29923210933</c:v>
                </c:pt>
                <c:pt idx="12">
                  <c:v>283286.93274992163</c:v>
                </c:pt>
                <c:pt idx="13">
                  <c:v>309650.27595196816</c:v>
                </c:pt>
                <c:pt idx="14">
                  <c:v>337570.19302545843</c:v>
                </c:pt>
                <c:pt idx="15">
                  <c:v>367153.94621703797</c:v>
                </c:pt>
                <c:pt idx="16">
                  <c:v>398516.75867234234</c:v>
                </c:pt>
                <c:pt idx="17">
                  <c:v>431782.42036000616</c:v>
                </c:pt>
                <c:pt idx="18">
                  <c:v>467083.94037711073</c:v>
                </c:pt>
                <c:pt idx="19">
                  <c:v>504564.24918490939</c:v>
                </c:pt>
                <c:pt idx="20">
                  <c:v>544376.9545947325</c:v>
                </c:pt>
                <c:pt idx="21">
                  <c:v>586687.15561570763</c:v>
                </c:pt>
                <c:pt idx="22">
                  <c:v>631672.31858990772</c:v>
                </c:pt>
                <c:pt idx="23">
                  <c:v>679679.41480274079</c:v>
                </c:pt>
                <c:pt idx="24">
                  <c:v>731335.05032774911</c:v>
                </c:pt>
                <c:pt idx="25">
                  <c:v>786916.51415265806</c:v>
                </c:pt>
                <c:pt idx="26">
                  <c:v>846722.16922826017</c:v>
                </c:pt>
                <c:pt idx="27">
                  <c:v>911073.05408960802</c:v>
                </c:pt>
                <c:pt idx="28">
                  <c:v>980314.60620041832</c:v>
                </c:pt>
                <c:pt idx="29">
                  <c:v>1054818.5162716501</c:v>
                </c:pt>
                <c:pt idx="30">
                  <c:v>1134984.7235082956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4D-4491-993E-FDDBF21AF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82208"/>
        <c:axId val="1847582688"/>
      </c:lineChart>
      <c:catAx>
        <c:axId val="184758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82688"/>
        <c:crosses val="autoZero"/>
        <c:auto val="1"/>
        <c:lblAlgn val="ctr"/>
        <c:lblOffset val="100"/>
        <c:noMultiLvlLbl val="0"/>
      </c:catAx>
      <c:valAx>
        <c:axId val="18475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8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10800000" algn="r" rotWithShape="0">
        <a:prstClr val="black">
          <a:alpha val="40000"/>
        </a:prstClr>
      </a:outerShdw>
    </a:effectLst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Pagos Mensuales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Mensuales'!$D$13</c:f>
              <c:strCache>
                <c:ptCount val="1"/>
                <c:pt idx="0">
                  <c:v>Interes
(van bajando)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Mensuales'!$D$14:$D$374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1330.9257500000001</c:v>
                </c:pt>
                <c:pt idx="2">
                  <c:v>1329.8348013179345</c:v>
                </c:pt>
                <c:pt idx="3">
                  <c:v>1328.7374887685569</c:v>
                </c:pt>
                <c:pt idx="4">
                  <c:v>1327.633775229308</c:v>
                </c:pt>
                <c:pt idx="5">
                  <c:v>1326.5236233610801</c:v>
                </c:pt>
                <c:pt idx="6">
                  <c:v>1325.4069956069543</c:v>
                </c:pt>
                <c:pt idx="7">
                  <c:v>1324.2838541909293</c:v>
                </c:pt>
                <c:pt idx="8">
                  <c:v>1323.1541611166442</c:v>
                </c:pt>
                <c:pt idx="9">
                  <c:v>1322.0178781660923</c:v>
                </c:pt>
                <c:pt idx="10">
                  <c:v>1320.8749668983289</c:v>
                </c:pt>
                <c:pt idx="11">
                  <c:v>1319.7253886481703</c:v>
                </c:pt>
                <c:pt idx="12">
                  <c:v>1318.5691045248857</c:v>
                </c:pt>
                <c:pt idx="13">
                  <c:v>1317.4060754108821</c:v>
                </c:pt>
                <c:pt idx="14">
                  <c:v>1316.2362619603798</c:v>
                </c:pt>
                <c:pt idx="15">
                  <c:v>1315.0596245980832</c:v>
                </c:pt>
                <c:pt idx="16">
                  <c:v>1313.8761235178399</c:v>
                </c:pt>
                <c:pt idx="17">
                  <c:v>1312.6857186812949</c:v>
                </c:pt>
                <c:pt idx="18">
                  <c:v>1311.488369816537</c:v>
                </c:pt>
                <c:pt idx="19">
                  <c:v>1310.2840364167346</c:v>
                </c:pt>
                <c:pt idx="20">
                  <c:v>1309.0726777387667</c:v>
                </c:pt>
                <c:pt idx="21">
                  <c:v>1307.854252801844</c:v>
                </c:pt>
                <c:pt idx="22">
                  <c:v>1306.6287203861225</c:v>
                </c:pt>
                <c:pt idx="23">
                  <c:v>1305.3960390313091</c:v>
                </c:pt>
                <c:pt idx="24">
                  <c:v>1304.1561670352596</c:v>
                </c:pt>
                <c:pt idx="25">
                  <c:v>1302.9090624525663</c:v>
                </c:pt>
                <c:pt idx="26">
                  <c:v>1301.6546830931409</c:v>
                </c:pt>
                <c:pt idx="27">
                  <c:v>1300.3929865207851</c:v>
                </c:pt>
                <c:pt idx="28">
                  <c:v>1299.1239300517575</c:v>
                </c:pt>
                <c:pt idx="29">
                  <c:v>1297.8474707533271</c:v>
                </c:pt>
                <c:pt idx="30">
                  <c:v>1296.5635654423227</c:v>
                </c:pt>
                <c:pt idx="31">
                  <c:v>1295.2721706836708</c:v>
                </c:pt>
                <c:pt idx="32">
                  <c:v>1293.9732427889267</c:v>
                </c:pt>
                <c:pt idx="33">
                  <c:v>1292.6667378147965</c:v>
                </c:pt>
                <c:pt idx="34">
                  <c:v>1291.3526115616505</c:v>
                </c:pt>
                <c:pt idx="35">
                  <c:v>1290.0308195720279</c:v>
                </c:pt>
                <c:pt idx="36">
                  <c:v>1288.7013171291326</c:v>
                </c:pt>
                <c:pt idx="37">
                  <c:v>1287.3640592553202</c:v>
                </c:pt>
                <c:pt idx="38">
                  <c:v>1286.0190007105775</c:v>
                </c:pt>
                <c:pt idx="39">
                  <c:v>1284.6660959909902</c:v>
                </c:pt>
                <c:pt idx="40">
                  <c:v>1283.3052993272054</c:v>
                </c:pt>
                <c:pt idx="41">
                  <c:v>1281.9365646828819</c:v>
                </c:pt>
                <c:pt idx="42">
                  <c:v>1280.559845753133</c:v>
                </c:pt>
                <c:pt idx="43">
                  <c:v>1279.1750959629608</c:v>
                </c:pt>
                <c:pt idx="44">
                  <c:v>1277.782268465679</c:v>
                </c:pt>
                <c:pt idx="45">
                  <c:v>1276.38131614133</c:v>
                </c:pt>
                <c:pt idx="46">
                  <c:v>1274.9721915950888</c:v>
                </c:pt>
                <c:pt idx="47">
                  <c:v>1273.5548471556613</c:v>
                </c:pt>
                <c:pt idx="48">
                  <c:v>1272.1292348736704</c:v>
                </c:pt>
                <c:pt idx="49">
                  <c:v>1270.6953065200346</c:v>
                </c:pt>
                <c:pt idx="50">
                  <c:v>1269.2530135843358</c:v>
                </c:pt>
                <c:pt idx="51">
                  <c:v>1267.8023072731789</c:v>
                </c:pt>
                <c:pt idx="52">
                  <c:v>1266.3431385085403</c:v>
                </c:pt>
                <c:pt idx="53">
                  <c:v>1264.8754579261079</c:v>
                </c:pt>
                <c:pt idx="54">
                  <c:v>1263.3992158736112</c:v>
                </c:pt>
                <c:pt idx="55">
                  <c:v>1261.9143624091416</c:v>
                </c:pt>
                <c:pt idx="56">
                  <c:v>1260.4208472994626</c:v>
                </c:pt>
                <c:pt idx="57">
                  <c:v>1258.9186200183105</c:v>
                </c:pt>
                <c:pt idx="58">
                  <c:v>1257.4076297446852</c:v>
                </c:pt>
                <c:pt idx="59">
                  <c:v>1255.8878253611301</c:v>
                </c:pt>
                <c:pt idx="60">
                  <c:v>1254.3591554520046</c:v>
                </c:pt>
                <c:pt idx="61">
                  <c:v>1252.8215683017424</c:v>
                </c:pt>
                <c:pt idx="62">
                  <c:v>1251.2750118931037</c:v>
                </c:pt>
                <c:pt idx="63">
                  <c:v>1249.7194339054145</c:v>
                </c:pt>
                <c:pt idx="64">
                  <c:v>1248.1547817127973</c:v>
                </c:pt>
                <c:pt idx="65">
                  <c:v>1246.5810023823897</c:v>
                </c:pt>
                <c:pt idx="66">
                  <c:v>1244.9980426725549</c:v>
                </c:pt>
                <c:pt idx="67">
                  <c:v>1243.4058490310792</c:v>
                </c:pt>
                <c:pt idx="68">
                  <c:v>1241.8043675933616</c:v>
                </c:pt>
                <c:pt idx="69">
                  <c:v>1240.1935441805906</c:v>
                </c:pt>
                <c:pt idx="70">
                  <c:v>1238.5733242979115</c:v>
                </c:pt>
                <c:pt idx="71">
                  <c:v>1236.9436531325839</c:v>
                </c:pt>
                <c:pt idx="72">
                  <c:v>1235.304475552125</c:v>
                </c:pt>
                <c:pt idx="73">
                  <c:v>1233.6557361024468</c:v>
                </c:pt>
                <c:pt idx="74">
                  <c:v>1231.9973790059787</c:v>
                </c:pt>
                <c:pt idx="75">
                  <c:v>1230.3293481597814</c:v>
                </c:pt>
                <c:pt idx="76">
                  <c:v>1228.651587133648</c:v>
                </c:pt>
                <c:pt idx="77">
                  <c:v>1226.9640391681953</c:v>
                </c:pt>
                <c:pt idx="78">
                  <c:v>1225.2666471729442</c:v>
                </c:pt>
                <c:pt idx="79">
                  <c:v>1223.5593537243876</c:v>
                </c:pt>
                <c:pt idx="80">
                  <c:v>1221.8421010640477</c:v>
                </c:pt>
                <c:pt idx="81">
                  <c:v>1220.1148310965223</c:v>
                </c:pt>
                <c:pt idx="82">
                  <c:v>1218.37748538752</c:v>
                </c:pt>
                <c:pt idx="83">
                  <c:v>1216.6300051618816</c:v>
                </c:pt>
                <c:pt idx="84">
                  <c:v>1214.8723313015935</c:v>
                </c:pt>
                <c:pt idx="85">
                  <c:v>1213.1044043437873</c:v>
                </c:pt>
                <c:pt idx="86">
                  <c:v>1211.3261644787272</c:v>
                </c:pt>
                <c:pt idx="87">
                  <c:v>1209.5375515477876</c:v>
                </c:pt>
                <c:pt idx="88">
                  <c:v>1207.7385050414175</c:v>
                </c:pt>
                <c:pt idx="89">
                  <c:v>1205.9289640970935</c:v>
                </c:pt>
                <c:pt idx="90">
                  <c:v>1204.1088674972609</c:v>
                </c:pt>
                <c:pt idx="91">
                  <c:v>1202.2781536672626</c:v>
                </c:pt>
                <c:pt idx="92">
                  <c:v>1200.4367606732562</c:v>
                </c:pt>
                <c:pt idx="93">
                  <c:v>1198.5846262201178</c:v>
                </c:pt>
                <c:pt idx="94">
                  <c:v>1196.7216876493362</c:v>
                </c:pt>
                <c:pt idx="95">
                  <c:v>1194.8478819368918</c:v>
                </c:pt>
                <c:pt idx="96">
                  <c:v>1192.9631456911247</c:v>
                </c:pt>
                <c:pt idx="97">
                  <c:v>1191.0674151505907</c:v>
                </c:pt>
                <c:pt idx="98">
                  <c:v>1189.1606261819036</c:v>
                </c:pt>
                <c:pt idx="99">
                  <c:v>1187.2427142775657</c:v>
                </c:pt>
                <c:pt idx="100">
                  <c:v>1185.313614553786</c:v>
                </c:pt>
                <c:pt idx="101">
                  <c:v>1183.3732617482842</c:v>
                </c:pt>
                <c:pt idx="102">
                  <c:v>1181.4215902180838</c:v>
                </c:pt>
                <c:pt idx="103">
                  <c:v>1179.4585339372904</c:v>
                </c:pt>
                <c:pt idx="104">
                  <c:v>1177.4840264948591</c:v>
                </c:pt>
                <c:pt idx="105">
                  <c:v>1175.4980010923468</c:v>
                </c:pt>
                <c:pt idx="106">
                  <c:v>1173.5003905416531</c:v>
                </c:pt>
                <c:pt idx="107">
                  <c:v>1171.4911272627473</c:v>
                </c:pt>
                <c:pt idx="108">
                  <c:v>1169.4701432813811</c:v>
                </c:pt>
                <c:pt idx="109">
                  <c:v>1167.4373702267901</c:v>
                </c:pt>
                <c:pt idx="110">
                  <c:v>1165.3927393293809</c:v>
                </c:pt>
                <c:pt idx="111">
                  <c:v>1163.3361814184034</c:v>
                </c:pt>
                <c:pt idx="112">
                  <c:v>1161.2676269196118</c:v>
                </c:pt>
                <c:pt idx="113">
                  <c:v>1159.1870058529107</c:v>
                </c:pt>
                <c:pt idx="114">
                  <c:v>1157.0942478299871</c:v>
                </c:pt>
                <c:pt idx="115">
                  <c:v>1154.9892820519299</c:v>
                </c:pt>
                <c:pt idx="116">
                  <c:v>1152.8720373068338</c:v>
                </c:pt>
                <c:pt idx="117">
                  <c:v>1150.7424419673914</c:v>
                </c:pt>
                <c:pt idx="118">
                  <c:v>1148.6004239884689</c:v>
                </c:pt>
                <c:pt idx="119">
                  <c:v>1146.4459109046695</c:v>
                </c:pt>
                <c:pt idx="120">
                  <c:v>1144.2788298278813</c:v>
                </c:pt>
                <c:pt idx="121">
                  <c:v>1142.0991074448116</c:v>
                </c:pt>
                <c:pt idx="122">
                  <c:v>1139.9066700145074</c:v>
                </c:pt>
                <c:pt idx="123">
                  <c:v>1137.7014433658599</c:v>
                </c:pt>
                <c:pt idx="124">
                  <c:v>1135.4833528950953</c:v>
                </c:pt>
                <c:pt idx="125">
                  <c:v>1133.2523235632511</c:v>
                </c:pt>
                <c:pt idx="126">
                  <c:v>1131.0082798936378</c:v>
                </c:pt>
                <c:pt idx="127">
                  <c:v>1128.7511459692851</c:v>
                </c:pt>
                <c:pt idx="128">
                  <c:v>1126.4808454303738</c:v>
                </c:pt>
                <c:pt idx="129">
                  <c:v>1124.1973014716521</c:v>
                </c:pt>
                <c:pt idx="130">
                  <c:v>1121.9004368398378</c:v>
                </c:pt>
                <c:pt idx="131">
                  <c:v>1119.5901738310047</c:v>
                </c:pt>
                <c:pt idx="132">
                  <c:v>1117.2664342879532</c:v>
                </c:pt>
                <c:pt idx="133">
                  <c:v>1114.9291395975674</c:v>
                </c:pt>
                <c:pt idx="134">
                  <c:v>1112.5782106881543</c:v>
                </c:pt>
                <c:pt idx="135">
                  <c:v>1110.2135680267695</c:v>
                </c:pt>
                <c:pt idx="136">
                  <c:v>1107.8351316165267</c:v>
                </c:pt>
                <c:pt idx="137">
                  <c:v>1105.4428209938908</c:v>
                </c:pt>
                <c:pt idx="138">
                  <c:v>1103.0365552259564</c:v>
                </c:pt>
                <c:pt idx="139">
                  <c:v>1100.6162529077089</c:v>
                </c:pt>
                <c:pt idx="140">
                  <c:v>1098.1818321592716</c:v>
                </c:pt>
                <c:pt idx="141">
                  <c:v>1095.7332106231352</c:v>
                </c:pt>
                <c:pt idx="142">
                  <c:v>1093.2703054613712</c:v>
                </c:pt>
                <c:pt idx="143">
                  <c:v>1090.7930333528302</c:v>
                </c:pt>
                <c:pt idx="144">
                  <c:v>1088.301310490323</c:v>
                </c:pt>
                <c:pt idx="145">
                  <c:v>1085.7950525777842</c:v>
                </c:pt>
                <c:pt idx="146">
                  <c:v>1083.2741748274223</c:v>
                </c:pt>
                <c:pt idx="147">
                  <c:v>1080.7385919568501</c:v>
                </c:pt>
                <c:pt idx="148">
                  <c:v>1078.1882181861995</c:v>
                </c:pt>
                <c:pt idx="149">
                  <c:v>1075.6229672352201</c:v>
                </c:pt>
                <c:pt idx="150">
                  <c:v>1073.04275232036</c:v>
                </c:pt>
                <c:pt idx="151">
                  <c:v>1070.4474861518299</c:v>
                </c:pt>
                <c:pt idx="152">
                  <c:v>1067.83708093065</c:v>
                </c:pt>
                <c:pt idx="153">
                  <c:v>1065.2114483456801</c:v>
                </c:pt>
                <c:pt idx="154">
                  <c:v>1062.570499570631</c:v>
                </c:pt>
                <c:pt idx="155">
                  <c:v>1059.9141452610609</c:v>
                </c:pt>
                <c:pt idx="156">
                  <c:v>1057.2422955513514</c:v>
                </c:pt>
                <c:pt idx="157">
                  <c:v>1054.5548600516688</c:v>
                </c:pt>
                <c:pt idx="158">
                  <c:v>1051.8517478449046</c:v>
                </c:pt>
                <c:pt idx="159">
                  <c:v>1049.1328674836011</c:v>
                </c:pt>
                <c:pt idx="160">
                  <c:v>1046.3981269868564</c:v>
                </c:pt>
                <c:pt idx="161">
                  <c:v>1043.6474338372141</c:v>
                </c:pt>
                <c:pt idx="162">
                  <c:v>1040.8806949775324</c:v>
                </c:pt>
                <c:pt idx="163">
                  <c:v>1038.0978168078357</c:v>
                </c:pt>
                <c:pt idx="164">
                  <c:v>1035.2987051821492</c:v>
                </c:pt>
                <c:pt idx="165">
                  <c:v>1032.4832654053127</c:v>
                </c:pt>
                <c:pt idx="166">
                  <c:v>1029.6514022297783</c:v>
                </c:pt>
                <c:pt idx="167">
                  <c:v>1026.8030198523863</c:v>
                </c:pt>
                <c:pt idx="168">
                  <c:v>1023.9380219111264</c:v>
                </c:pt>
                <c:pt idx="169">
                  <c:v>1021.0563114818757</c:v>
                </c:pt>
                <c:pt idx="170">
                  <c:v>1018.1577910751211</c:v>
                </c:pt>
                <c:pt idx="171">
                  <c:v>1015.2423626326604</c:v>
                </c:pt>
                <c:pt idx="172">
                  <c:v>1012.3099275242853</c:v>
                </c:pt>
                <c:pt idx="173">
                  <c:v>1009.3603865444447</c:v>
                </c:pt>
                <c:pt idx="174">
                  <c:v>1006.3936399088884</c:v>
                </c:pt>
                <c:pt idx="175">
                  <c:v>1003.4095872512913</c:v>
                </c:pt>
                <c:pt idx="176">
                  <c:v>1000.4081276198583</c:v>
                </c:pt>
                <c:pt idx="177">
                  <c:v>997.38915947390853</c:v>
                </c:pt>
                <c:pt idx="178">
                  <c:v>994.35258068044084</c:v>
                </c:pt>
                <c:pt idx="179">
                  <c:v>991.29828851067782</c:v>
                </c:pt>
                <c:pt idx="180">
                  <c:v>988.22617963659127</c:v>
                </c:pt>
                <c:pt idx="181">
                  <c:v>985.1361501274057</c:v>
                </c:pt>
                <c:pt idx="182">
                  <c:v>982.0280954460834</c:v>
                </c:pt>
                <c:pt idx="183">
                  <c:v>978.90191044578648</c:v>
                </c:pt>
                <c:pt idx="184">
                  <c:v>975.75748936632135</c:v>
                </c:pt>
                <c:pt idx="185">
                  <c:v>972.59472583055936</c:v>
                </c:pt>
                <c:pt idx="186">
                  <c:v>969.41351284083862</c:v>
                </c:pt>
                <c:pt idx="187">
                  <c:v>966.2137427753446</c:v>
                </c:pt>
                <c:pt idx="188">
                  <c:v>962.99530738446867</c:v>
                </c:pt>
                <c:pt idx="189">
                  <c:v>959.75809778714586</c:v>
                </c:pt>
                <c:pt idx="190">
                  <c:v>956.5020044671719</c:v>
                </c:pt>
                <c:pt idx="191">
                  <c:v>953.22691726949813</c:v>
                </c:pt>
                <c:pt idx="192">
                  <c:v>949.93272539650468</c:v>
                </c:pt>
                <c:pt idx="193">
                  <c:v>946.619317404252</c:v>
                </c:pt>
                <c:pt idx="194">
                  <c:v>943.28658119871136</c:v>
                </c:pt>
                <c:pt idx="195">
                  <c:v>939.93440403197167</c:v>
                </c:pt>
                <c:pt idx="196">
                  <c:v>936.56267249842585</c:v>
                </c:pt>
                <c:pt idx="197">
                  <c:v>933.1712725309344</c:v>
                </c:pt>
                <c:pt idx="198">
                  <c:v>929.7600893969659</c:v>
                </c:pt>
                <c:pt idx="199">
                  <c:v>926.32900769471598</c:v>
                </c:pt>
                <c:pt idx="200">
                  <c:v>922.87791134920292</c:v>
                </c:pt>
                <c:pt idx="201">
                  <c:v>919.40668360834104</c:v>
                </c:pt>
                <c:pt idx="202">
                  <c:v>915.91520703899084</c:v>
                </c:pt>
                <c:pt idx="203">
                  <c:v>912.40336352298607</c:v>
                </c:pt>
                <c:pt idx="204">
                  <c:v>908.87103425313796</c:v>
                </c:pt>
                <c:pt idx="205">
                  <c:v>905.31809972921565</c:v>
                </c:pt>
                <c:pt idx="206">
                  <c:v>901.74443975390386</c:v>
                </c:pt>
                <c:pt idx="207">
                  <c:v>898.14993342873606</c:v>
                </c:pt>
                <c:pt idx="208">
                  <c:v>894.53445915000486</c:v>
                </c:pt>
                <c:pt idx="209">
                  <c:v>890.8978946046476</c:v>
                </c:pt>
                <c:pt idx="210">
                  <c:v>887.24011676610905</c:v>
                </c:pt>
                <c:pt idx="211">
                  <c:v>883.56100189017911</c:v>
                </c:pt>
                <c:pt idx="212">
                  <c:v>879.86042551080629</c:v>
                </c:pt>
                <c:pt idx="213">
                  <c:v>876.13826243588699</c:v>
                </c:pt>
                <c:pt idx="214">
                  <c:v>872.39438674303085</c:v>
                </c:pt>
                <c:pt idx="215">
                  <c:v>868.62867177529961</c:v>
                </c:pt>
                <c:pt idx="216">
                  <c:v>864.84099013692321</c:v>
                </c:pt>
                <c:pt idx="217">
                  <c:v>861.03121368898962</c:v>
                </c:pt>
                <c:pt idx="218">
                  <c:v>857.19921354510984</c:v>
                </c:pt>
                <c:pt idx="219">
                  <c:v>853.34486006705743</c:v>
                </c:pt>
                <c:pt idx="220">
                  <c:v>849.46802286038292</c:v>
                </c:pt>
                <c:pt idx="221">
                  <c:v>845.56857077000302</c:v>
                </c:pt>
                <c:pt idx="222">
                  <c:v>841.6463718757625</c:v>
                </c:pt>
                <c:pt idx="223">
                  <c:v>837.70129348797218</c:v>
                </c:pt>
                <c:pt idx="224">
                  <c:v>833.73320214291982</c:v>
                </c:pt>
                <c:pt idx="225">
                  <c:v>829.74196359835457</c:v>
                </c:pt>
                <c:pt idx="226">
                  <c:v>825.7274428289461</c:v>
                </c:pt>
                <c:pt idx="227">
                  <c:v>821.68950402171606</c:v>
                </c:pt>
                <c:pt idx="228">
                  <c:v>817.62801057144395</c:v>
                </c:pt>
                <c:pt idx="229">
                  <c:v>813.54282507604512</c:v>
                </c:pt>
                <c:pt idx="230">
                  <c:v>809.43380933192304</c:v>
                </c:pt>
                <c:pt idx="231">
                  <c:v>805.30082432929373</c:v>
                </c:pt>
                <c:pt idx="232">
                  <c:v>801.14373024748238</c:v>
                </c:pt>
                <c:pt idx="233">
                  <c:v>796.96238645019378</c:v>
                </c:pt>
                <c:pt idx="234">
                  <c:v>792.75665148075439</c:v>
                </c:pt>
                <c:pt idx="235">
                  <c:v>788.52638305732648</c:v>
                </c:pt>
                <c:pt idx="236">
                  <c:v>784.27143806809534</c:v>
                </c:pt>
                <c:pt idx="237">
                  <c:v>779.99167256642704</c:v>
                </c:pt>
                <c:pt idx="238">
                  <c:v>775.68694176599899</c:v>
                </c:pt>
                <c:pt idx="239">
                  <c:v>771.35710003590168</c:v>
                </c:pt>
                <c:pt idx="240">
                  <c:v>767.00200089571217</c:v>
                </c:pt>
                <c:pt idx="241">
                  <c:v>762.62149701053818</c:v>
                </c:pt>
                <c:pt idx="242">
                  <c:v>758.21544018603413</c:v>
                </c:pt>
                <c:pt idx="243">
                  <c:v>753.78368136338713</c:v>
                </c:pt>
                <c:pt idx="244">
                  <c:v>749.32607061427473</c:v>
                </c:pt>
                <c:pt idx="245">
                  <c:v>744.8424571357923</c:v>
                </c:pt>
                <c:pt idx="246">
                  <c:v>740.3326892453523</c:v>
                </c:pt>
                <c:pt idx="247">
                  <c:v>735.79661437555126</c:v>
                </c:pt>
                <c:pt idx="248">
                  <c:v>731.23407906900979</c:v>
                </c:pt>
                <c:pt idx="249">
                  <c:v>726.64492897318019</c:v>
                </c:pt>
                <c:pt idx="250">
                  <c:v>722.02900883512473</c:v>
                </c:pt>
                <c:pt idx="251">
                  <c:v>717.38616249626409</c:v>
                </c:pt>
                <c:pt idx="252">
                  <c:v>712.71623288709338</c:v>
                </c:pt>
                <c:pt idx="253">
                  <c:v>708.01906202186933</c:v>
                </c:pt>
                <c:pt idx="254">
                  <c:v>703.29449099326462</c:v>
                </c:pt>
                <c:pt idx="255">
                  <c:v>698.5423599669931</c:v>
                </c:pt>
                <c:pt idx="256">
                  <c:v>693.76250817640164</c:v>
                </c:pt>
                <c:pt idx="257">
                  <c:v>688.95477391703184</c:v>
                </c:pt>
                <c:pt idx="258">
                  <c:v>684.11899454114894</c:v>
                </c:pt>
                <c:pt idx="259">
                  <c:v>679.25500645224008</c:v>
                </c:pt>
                <c:pt idx="260">
                  <c:v>674.36264509947932</c:v>
                </c:pt>
                <c:pt idx="261">
                  <c:v>669.44174497216068</c:v>
                </c:pt>
                <c:pt idx="262">
                  <c:v>664.4921395940994</c:v>
                </c:pt>
                <c:pt idx="263">
                  <c:v>659.51366151799937</c:v>
                </c:pt>
                <c:pt idx="264">
                  <c:v>654.50614231978886</c:v>
                </c:pt>
                <c:pt idx="265">
                  <c:v>649.46941259292203</c:v>
                </c:pt>
                <c:pt idx="266">
                  <c:v>644.40330194264845</c:v>
                </c:pt>
                <c:pt idx="267">
                  <c:v>639.30763898024838</c:v>
                </c:pt>
                <c:pt idx="268">
                  <c:v>634.1822513172342</c:v>
                </c:pt>
                <c:pt idx="269">
                  <c:v>629.02696555951923</c:v>
                </c:pt>
                <c:pt idx="270">
                  <c:v>623.84160730155077</c:v>
                </c:pt>
                <c:pt idx="271">
                  <c:v>618.62600112041093</c:v>
                </c:pt>
                <c:pt idx="272">
                  <c:v>613.37997056988104</c:v>
                </c:pt>
                <c:pt idx="273">
                  <c:v>608.10333817447315</c:v>
                </c:pt>
                <c:pt idx="274">
                  <c:v>602.79592542342527</c:v>
                </c:pt>
                <c:pt idx="275">
                  <c:v>597.45755276466309</c:v>
                </c:pt>
                <c:pt idx="276">
                  <c:v>592.08803959872466</c:v>
                </c:pt>
                <c:pt idx="277">
                  <c:v>586.68720427265168</c:v>
                </c:pt>
                <c:pt idx="278">
                  <c:v>581.25486407384324</c:v>
                </c:pt>
                <c:pt idx="279">
                  <c:v>575.79083522387509</c:v>
                </c:pt>
                <c:pt idx="280">
                  <c:v>570.29493287228217</c:v>
                </c:pt>
                <c:pt idx="281">
                  <c:v>564.76697109030488</c:v>
                </c:pt>
                <c:pt idx="282">
                  <c:v>559.20676286459945</c:v>
                </c:pt>
                <c:pt idx="283">
                  <c:v>553.61412009091066</c:v>
                </c:pt>
                <c:pt idx="284">
                  <c:v>547.98885356770882</c:v>
                </c:pt>
                <c:pt idx="285">
                  <c:v>542.33077298978822</c:v>
                </c:pt>
                <c:pt idx="286">
                  <c:v>536.63968694182972</c:v>
                </c:pt>
                <c:pt idx="287">
                  <c:v>530.91540289192483</c:v>
                </c:pt>
                <c:pt idx="288">
                  <c:v>525.15772718506219</c:v>
                </c:pt>
                <c:pt idx="289">
                  <c:v>519.36646503657619</c:v>
                </c:pt>
                <c:pt idx="290">
                  <c:v>513.54142052555721</c:v>
                </c:pt>
                <c:pt idx="291">
                  <c:v>507.68239658822409</c:v>
                </c:pt>
                <c:pt idx="292">
                  <c:v>501.78919501125654</c:v>
                </c:pt>
                <c:pt idx="293">
                  <c:v>495.86161642509001</c:v>
                </c:pt>
                <c:pt idx="294">
                  <c:v>489.89946029717083</c:v>
                </c:pt>
                <c:pt idx="295">
                  <c:v>483.90252492517209</c:v>
                </c:pt>
                <c:pt idx="296">
                  <c:v>477.87060743017003</c:v>
                </c:pt>
                <c:pt idx="297">
                  <c:v>471.80350374978042</c:v>
                </c:pt>
                <c:pt idx="298">
                  <c:v>465.70100863125526</c:v>
                </c:pt>
                <c:pt idx="299">
                  <c:v>459.56291562453868</c:v>
                </c:pt>
                <c:pt idx="300">
                  <c:v>453.38901707528294</c:v>
                </c:pt>
                <c:pt idx="301">
                  <c:v>447.17910411782316</c:v>
                </c:pt>
                <c:pt idx="302">
                  <c:v>440.93296666811153</c:v>
                </c:pt>
                <c:pt idx="303">
                  <c:v>434.65039341660992</c:v>
                </c:pt>
                <c:pt idx="304">
                  <c:v>428.3311718211412</c:v>
                </c:pt>
                <c:pt idx="305">
                  <c:v>421.97508809969895</c:v>
                </c:pt>
                <c:pt idx="306">
                  <c:v>415.58192722321496</c:v>
                </c:pt>
                <c:pt idx="307">
                  <c:v>409.1514729082848</c:v>
                </c:pt>
                <c:pt idx="308">
                  <c:v>402.68350760985084</c:v>
                </c:pt>
                <c:pt idx="309">
                  <c:v>396.1778125138427</c:v>
                </c:pt>
                <c:pt idx="310">
                  <c:v>389.63416752977457</c:v>
                </c:pt>
                <c:pt idx="311">
                  <c:v>383.05235128329929</c:v>
                </c:pt>
                <c:pt idx="312">
                  <c:v>376.43214110871963</c:v>
                </c:pt>
                <c:pt idx="313">
                  <c:v>369.77331304145491</c:v>
                </c:pt>
                <c:pt idx="314">
                  <c:v>363.0756418104645</c:v>
                </c:pt>
                <c:pt idx="315">
                  <c:v>356.33890083062664</c:v>
                </c:pt>
                <c:pt idx="316">
                  <c:v>349.56286219507308</c:v>
                </c:pt>
                <c:pt idx="317">
                  <c:v>342.74729666747879</c:v>
                </c:pt>
                <c:pt idx="318">
                  <c:v>335.89197367430683</c:v>
                </c:pt>
                <c:pt idx="319">
                  <c:v>328.99666129700807</c:v>
                </c:pt>
                <c:pt idx="320">
                  <c:v>322.06112626417502</c:v>
                </c:pt>
                <c:pt idx="321">
                  <c:v>315.08513394365048</c:v>
                </c:pt>
                <c:pt idx="322">
                  <c:v>308.06844833458956</c:v>
                </c:pt>
                <c:pt idx="323">
                  <c:v>301.01083205947577</c:v>
                </c:pt>
                <c:pt idx="324">
                  <c:v>293.91204635609046</c:v>
                </c:pt>
                <c:pt idx="325">
                  <c:v>286.77185106943546</c:v>
                </c:pt>
                <c:pt idx="326">
                  <c:v>279.59000464360821</c:v>
                </c:pt>
                <c:pt idx="327">
                  <c:v>272.36626411363039</c:v>
                </c:pt>
                <c:pt idx="328">
                  <c:v>265.10038509722762</c:v>
                </c:pt>
                <c:pt idx="329">
                  <c:v>257.79212178656257</c:v>
                </c:pt>
                <c:pt idx="330">
                  <c:v>250.44122693991858</c:v>
                </c:pt>
                <c:pt idx="331">
                  <c:v>243.04745187333589</c:v>
                </c:pt>
                <c:pt idx="332">
                  <c:v>235.61054645219809</c:v>
                </c:pt>
                <c:pt idx="333">
                  <c:v>228.13025908277035</c:v>
                </c:pt>
                <c:pt idx="334">
                  <c:v>220.60633670368762</c:v>
                </c:pt>
                <c:pt idx="335">
                  <c:v>213.03852477739352</c:v>
                </c:pt>
                <c:pt idx="336">
                  <c:v>205.4265672815294</c:v>
                </c:pt>
                <c:pt idx="337">
                  <c:v>197.77020670027278</c:v>
                </c:pt>
                <c:pt idx="338">
                  <c:v>190.06918401562547</c:v>
                </c:pt>
                <c:pt idx="339">
                  <c:v>182.32323869865104</c:v>
                </c:pt>
                <c:pt idx="340">
                  <c:v>174.53210870066093</c:v>
                </c:pt>
                <c:pt idx="341">
                  <c:v>166.69553044434923</c:v>
                </c:pt>
                <c:pt idx="342">
                  <c:v>158.81323881487569</c:v>
                </c:pt>
                <c:pt idx="343">
                  <c:v>150.8849671508969</c:v>
                </c:pt>
                <c:pt idx="344">
                  <c:v>142.91044723554486</c:v>
                </c:pt>
                <c:pt idx="345">
                  <c:v>134.88940928735332</c:v>
                </c:pt>
                <c:pt idx="346">
                  <c:v>126.82158195113064</c:v>
                </c:pt>
                <c:pt idx="347">
                  <c:v>118.70669228877999</c:v>
                </c:pt>
                <c:pt idx="348">
                  <c:v>110.54446577006564</c:v>
                </c:pt>
                <c:pt idx="349">
                  <c:v>102.33462626332546</c:v>
                </c:pt>
                <c:pt idx="350">
                  <c:v>94.07689602612929</c:v>
                </c:pt>
                <c:pt idx="351">
                  <c:v>85.770995695882803</c:v>
                </c:pt>
                <c:pt idx="352">
                  <c:v>77.416644280376545</c:v>
                </c:pt>
                <c:pt idx="353">
                  <c:v>69.013559148279825</c:v>
                </c:pt>
                <c:pt idx="354">
                  <c:v>60.561456019579218</c:v>
                </c:pt>
                <c:pt idx="355">
                  <c:v>52.060048955961193</c:v>
                </c:pt>
                <c:pt idx="356">
                  <c:v>43.509050351138725</c:v>
                </c:pt>
                <c:pt idx="357">
                  <c:v>34.908170921121467</c:v>
                </c:pt>
                <c:pt idx="358">
                  <c:v>26.2571196944291</c:v>
                </c:pt>
                <c:pt idx="359">
                  <c:v>17.555604002247698</c:v>
                </c:pt>
                <c:pt idx="360">
                  <c:v>8.8033294685285721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1B-43BB-9AB6-DFA82E37EED0}"/>
            </c:ext>
          </c:extLst>
        </c:ser>
        <c:ser>
          <c:idx val="1"/>
          <c:order val="1"/>
          <c:tx>
            <c:strRef>
              <c:f>'Flujos Mensuales'!$E$13</c:f>
              <c:strCache>
                <c:ptCount val="1"/>
                <c:pt idx="0">
                  <c:v>Pago a Capital
Amortizacion
(va aumentando)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Mensuales'!$E$14:$E$374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187.01977406838364</c:v>
                </c:pt>
                <c:pt idx="2">
                  <c:v>188.11072275044921</c:v>
                </c:pt>
                <c:pt idx="3">
                  <c:v>189.20803529982686</c:v>
                </c:pt>
                <c:pt idx="4">
                  <c:v>190.31174883907579</c:v>
                </c:pt>
                <c:pt idx="5">
                  <c:v>191.42190070730362</c:v>
                </c:pt>
                <c:pt idx="6">
                  <c:v>192.53852846142945</c:v>
                </c:pt>
                <c:pt idx="7">
                  <c:v>193.66166987745441</c:v>
                </c:pt>
                <c:pt idx="8">
                  <c:v>194.79136295173953</c:v>
                </c:pt>
                <c:pt idx="9">
                  <c:v>195.92764590229149</c:v>
                </c:pt>
                <c:pt idx="10">
                  <c:v>197.07055717005483</c:v>
                </c:pt>
                <c:pt idx="11">
                  <c:v>198.22013542021341</c:v>
                </c:pt>
                <c:pt idx="12">
                  <c:v>199.37641954349806</c:v>
                </c:pt>
                <c:pt idx="13">
                  <c:v>200.53944865750168</c:v>
                </c:pt>
                <c:pt idx="14">
                  <c:v>201.70926210800394</c:v>
                </c:pt>
                <c:pt idx="15">
                  <c:v>202.8858994703005</c:v>
                </c:pt>
                <c:pt idx="16">
                  <c:v>204.06940055054383</c:v>
                </c:pt>
                <c:pt idx="17">
                  <c:v>205.25980538708882</c:v>
                </c:pt>
                <c:pt idx="18">
                  <c:v>206.45715425184676</c:v>
                </c:pt>
                <c:pt idx="19">
                  <c:v>207.66148765164917</c:v>
                </c:pt>
                <c:pt idx="20">
                  <c:v>208.872846329617</c:v>
                </c:pt>
                <c:pt idx="21">
                  <c:v>210.09127126653971</c:v>
                </c:pt>
                <c:pt idx="22">
                  <c:v>211.31680368226125</c:v>
                </c:pt>
                <c:pt idx="23">
                  <c:v>212.54948503707465</c:v>
                </c:pt>
                <c:pt idx="24">
                  <c:v>213.78935703312413</c:v>
                </c:pt>
                <c:pt idx="25">
                  <c:v>215.03646161581742</c:v>
                </c:pt>
                <c:pt idx="26">
                  <c:v>216.29084097524287</c:v>
                </c:pt>
                <c:pt idx="27">
                  <c:v>217.5525375475986</c:v>
                </c:pt>
                <c:pt idx="28">
                  <c:v>218.82159401662625</c:v>
                </c:pt>
                <c:pt idx="29">
                  <c:v>220.09805331505663</c:v>
                </c:pt>
                <c:pt idx="30">
                  <c:v>221.38195862606108</c:v>
                </c:pt>
                <c:pt idx="31">
                  <c:v>222.67335338471298</c:v>
                </c:pt>
                <c:pt idx="32">
                  <c:v>223.97228127945709</c:v>
                </c:pt>
                <c:pt idx="33">
                  <c:v>225.27878625358721</c:v>
                </c:pt>
                <c:pt idx="34">
                  <c:v>226.59291250673323</c:v>
                </c:pt>
                <c:pt idx="35">
                  <c:v>227.91470449635585</c:v>
                </c:pt>
                <c:pt idx="36">
                  <c:v>229.24420693925117</c:v>
                </c:pt>
                <c:pt idx="37">
                  <c:v>230.58146481306358</c:v>
                </c:pt>
                <c:pt idx="38">
                  <c:v>231.92652335780622</c:v>
                </c:pt>
                <c:pt idx="39">
                  <c:v>233.2794280773935</c:v>
                </c:pt>
                <c:pt idx="40">
                  <c:v>234.64022474117837</c:v>
                </c:pt>
                <c:pt idx="41">
                  <c:v>236.00895938550184</c:v>
                </c:pt>
                <c:pt idx="42">
                  <c:v>237.38567831525074</c:v>
                </c:pt>
                <c:pt idx="43">
                  <c:v>238.77042810542298</c:v>
                </c:pt>
                <c:pt idx="44">
                  <c:v>240.16325560270479</c:v>
                </c:pt>
                <c:pt idx="45">
                  <c:v>241.56420792705376</c:v>
                </c:pt>
                <c:pt idx="46">
                  <c:v>242.97333247329493</c:v>
                </c:pt>
                <c:pt idx="47">
                  <c:v>244.39067691272248</c:v>
                </c:pt>
                <c:pt idx="48">
                  <c:v>245.81628919471336</c:v>
                </c:pt>
                <c:pt idx="49">
                  <c:v>247.25021754834916</c:v>
                </c:pt>
                <c:pt idx="50">
                  <c:v>248.69251048404794</c:v>
                </c:pt>
                <c:pt idx="51">
                  <c:v>250.14321679520481</c:v>
                </c:pt>
                <c:pt idx="52">
                  <c:v>251.60238555984347</c:v>
                </c:pt>
                <c:pt idx="53">
                  <c:v>253.07006614227589</c:v>
                </c:pt>
                <c:pt idx="54">
                  <c:v>254.54630819477256</c:v>
                </c:pt>
                <c:pt idx="55">
                  <c:v>256.03116165924212</c:v>
                </c:pt>
                <c:pt idx="56">
                  <c:v>257.52467676892115</c:v>
                </c:pt>
                <c:pt idx="57">
                  <c:v>259.0269040500732</c:v>
                </c:pt>
                <c:pt idx="58">
                  <c:v>260.53789432369854</c:v>
                </c:pt>
                <c:pt idx="59">
                  <c:v>262.05769870725362</c:v>
                </c:pt>
                <c:pt idx="60">
                  <c:v>263.5863686163791</c:v>
                </c:pt>
                <c:pt idx="61">
                  <c:v>265.1239557666413</c:v>
                </c:pt>
                <c:pt idx="62">
                  <c:v>266.67051217528001</c:v>
                </c:pt>
                <c:pt idx="63">
                  <c:v>268.22609016296929</c:v>
                </c:pt>
                <c:pt idx="64">
                  <c:v>269.79074235558642</c:v>
                </c:pt>
                <c:pt idx="65">
                  <c:v>271.36452168599408</c:v>
                </c:pt>
                <c:pt idx="66">
                  <c:v>272.94748139582885</c:v>
                </c:pt>
                <c:pt idx="67">
                  <c:v>274.53967503730451</c:v>
                </c:pt>
                <c:pt idx="68">
                  <c:v>276.14115647502217</c:v>
                </c:pt>
                <c:pt idx="69">
                  <c:v>277.75197988779314</c:v>
                </c:pt>
                <c:pt idx="70">
                  <c:v>279.37219977047221</c:v>
                </c:pt>
                <c:pt idx="71">
                  <c:v>281.00187093579984</c:v>
                </c:pt>
                <c:pt idx="72">
                  <c:v>282.64104851625871</c:v>
                </c:pt>
                <c:pt idx="73">
                  <c:v>284.28978796593697</c:v>
                </c:pt>
                <c:pt idx="74">
                  <c:v>285.94814506240505</c:v>
                </c:pt>
                <c:pt idx="75">
                  <c:v>287.61617590860237</c:v>
                </c:pt>
                <c:pt idx="76">
                  <c:v>289.29393693473571</c:v>
                </c:pt>
                <c:pt idx="77">
                  <c:v>290.98148490018843</c:v>
                </c:pt>
                <c:pt idx="78">
                  <c:v>292.67887689543954</c:v>
                </c:pt>
                <c:pt idx="79">
                  <c:v>294.38617034399613</c:v>
                </c:pt>
                <c:pt idx="80">
                  <c:v>296.10342300433604</c:v>
                </c:pt>
                <c:pt idx="81">
                  <c:v>297.83069297186148</c:v>
                </c:pt>
                <c:pt idx="82">
                  <c:v>299.56803868086376</c:v>
                </c:pt>
                <c:pt idx="83">
                  <c:v>301.31551890650212</c:v>
                </c:pt>
                <c:pt idx="84">
                  <c:v>303.07319276679027</c:v>
                </c:pt>
                <c:pt idx="85">
                  <c:v>304.84111972459641</c:v>
                </c:pt>
                <c:pt idx="86">
                  <c:v>306.6193595896566</c:v>
                </c:pt>
                <c:pt idx="87">
                  <c:v>308.4079725205961</c:v>
                </c:pt>
                <c:pt idx="88">
                  <c:v>310.20701902696624</c:v>
                </c:pt>
                <c:pt idx="89">
                  <c:v>312.01655997129023</c:v>
                </c:pt>
                <c:pt idx="90">
                  <c:v>313.83665657112283</c:v>
                </c:pt>
                <c:pt idx="91">
                  <c:v>315.66737040112116</c:v>
                </c:pt>
                <c:pt idx="92">
                  <c:v>317.50876339512752</c:v>
                </c:pt>
                <c:pt idx="93">
                  <c:v>319.36089784826595</c:v>
                </c:pt>
                <c:pt idx="94">
                  <c:v>321.22383641904753</c:v>
                </c:pt>
                <c:pt idx="95">
                  <c:v>323.09764213149197</c:v>
                </c:pt>
                <c:pt idx="96">
                  <c:v>324.98237837725901</c:v>
                </c:pt>
                <c:pt idx="97">
                  <c:v>326.87810891779304</c:v>
                </c:pt>
                <c:pt idx="98">
                  <c:v>328.78489788648017</c:v>
                </c:pt>
                <c:pt idx="99">
                  <c:v>330.70280979081804</c:v>
                </c:pt>
                <c:pt idx="100">
                  <c:v>332.63190951459774</c:v>
                </c:pt>
                <c:pt idx="101">
                  <c:v>334.57226232009953</c:v>
                </c:pt>
                <c:pt idx="102">
                  <c:v>336.52393385029995</c:v>
                </c:pt>
                <c:pt idx="103">
                  <c:v>338.48699013109331</c:v>
                </c:pt>
                <c:pt idx="104">
                  <c:v>340.46149757352464</c:v>
                </c:pt>
                <c:pt idx="105">
                  <c:v>342.44752297603691</c:v>
                </c:pt>
                <c:pt idx="106">
                  <c:v>344.44513352673061</c:v>
                </c:pt>
                <c:pt idx="107">
                  <c:v>346.45439680563641</c:v>
                </c:pt>
                <c:pt idx="108">
                  <c:v>348.47538078700268</c:v>
                </c:pt>
                <c:pt idx="109">
                  <c:v>350.50815384159364</c:v>
                </c:pt>
                <c:pt idx="110">
                  <c:v>352.55278473900285</c:v>
                </c:pt>
                <c:pt idx="111">
                  <c:v>354.60934264998036</c:v>
                </c:pt>
                <c:pt idx="112">
                  <c:v>356.67789714877199</c:v>
                </c:pt>
                <c:pt idx="113">
                  <c:v>358.75851821547303</c:v>
                </c:pt>
                <c:pt idx="114">
                  <c:v>360.85127623839662</c:v>
                </c:pt>
                <c:pt idx="115">
                  <c:v>362.95624201645387</c:v>
                </c:pt>
                <c:pt idx="116">
                  <c:v>365.07348676154993</c:v>
                </c:pt>
                <c:pt idx="117">
                  <c:v>367.20308210099233</c:v>
                </c:pt>
                <c:pt idx="118">
                  <c:v>369.3451000799148</c:v>
                </c:pt>
                <c:pt idx="119">
                  <c:v>371.49961316371423</c:v>
                </c:pt>
                <c:pt idx="120">
                  <c:v>373.66669424050247</c:v>
                </c:pt>
                <c:pt idx="121">
                  <c:v>375.84641662357217</c:v>
                </c:pt>
                <c:pt idx="122">
                  <c:v>378.03885405387632</c:v>
                </c:pt>
                <c:pt idx="123">
                  <c:v>380.24408070252389</c:v>
                </c:pt>
                <c:pt idx="124">
                  <c:v>382.46217117328843</c:v>
                </c:pt>
                <c:pt idx="125">
                  <c:v>384.69320050513261</c:v>
                </c:pt>
                <c:pt idx="126">
                  <c:v>386.93724417474596</c:v>
                </c:pt>
                <c:pt idx="127">
                  <c:v>389.19437809909869</c:v>
                </c:pt>
                <c:pt idx="128">
                  <c:v>391.4646786380099</c:v>
                </c:pt>
                <c:pt idx="129">
                  <c:v>393.74822259673169</c:v>
                </c:pt>
                <c:pt idx="130">
                  <c:v>396.04508722854598</c:v>
                </c:pt>
                <c:pt idx="131">
                  <c:v>398.35535023737907</c:v>
                </c:pt>
                <c:pt idx="132">
                  <c:v>400.67908978043056</c:v>
                </c:pt>
                <c:pt idx="133">
                  <c:v>403.01638447081632</c:v>
                </c:pt>
                <c:pt idx="134">
                  <c:v>405.36731338022946</c:v>
                </c:pt>
                <c:pt idx="135">
                  <c:v>407.73195604161424</c:v>
                </c:pt>
                <c:pt idx="136">
                  <c:v>410.11039245185702</c:v>
                </c:pt>
                <c:pt idx="137">
                  <c:v>412.50270307449296</c:v>
                </c:pt>
                <c:pt idx="138">
                  <c:v>414.90896884242738</c:v>
                </c:pt>
                <c:pt idx="139">
                  <c:v>417.32927116067481</c:v>
                </c:pt>
                <c:pt idx="140">
                  <c:v>419.76369190911214</c:v>
                </c:pt>
                <c:pt idx="141">
                  <c:v>422.21231344524858</c:v>
                </c:pt>
                <c:pt idx="142">
                  <c:v>424.67521860701254</c:v>
                </c:pt>
                <c:pt idx="143">
                  <c:v>427.15249071555354</c:v>
                </c:pt>
                <c:pt idx="144">
                  <c:v>429.64421357806077</c:v>
                </c:pt>
                <c:pt idx="145">
                  <c:v>432.15047149059956</c:v>
                </c:pt>
                <c:pt idx="146">
                  <c:v>434.67134924096149</c:v>
                </c:pt>
                <c:pt idx="147">
                  <c:v>437.20693211153366</c:v>
                </c:pt>
                <c:pt idx="148">
                  <c:v>439.75730588218426</c:v>
                </c:pt>
                <c:pt idx="149">
                  <c:v>442.32255683316362</c:v>
                </c:pt>
                <c:pt idx="150">
                  <c:v>444.90277174802372</c:v>
                </c:pt>
                <c:pt idx="151">
                  <c:v>447.49803791655381</c:v>
                </c:pt>
                <c:pt idx="152">
                  <c:v>450.10844313773373</c:v>
                </c:pt>
                <c:pt idx="153">
                  <c:v>452.73407572270366</c:v>
                </c:pt>
                <c:pt idx="154">
                  <c:v>455.37502449775275</c:v>
                </c:pt>
                <c:pt idx="155">
                  <c:v>458.03137880732288</c:v>
                </c:pt>
                <c:pt idx="156">
                  <c:v>460.70322851703236</c:v>
                </c:pt>
                <c:pt idx="157">
                  <c:v>463.39066401671494</c:v>
                </c:pt>
                <c:pt idx="158">
                  <c:v>466.09377622347915</c:v>
                </c:pt>
                <c:pt idx="159">
                  <c:v>468.81265658478264</c:v>
                </c:pt>
                <c:pt idx="160">
                  <c:v>471.54739708152738</c:v>
                </c:pt>
                <c:pt idx="161">
                  <c:v>474.29809023116968</c:v>
                </c:pt>
                <c:pt idx="162">
                  <c:v>477.06482909085139</c:v>
                </c:pt>
                <c:pt idx="163">
                  <c:v>479.84770726054808</c:v>
                </c:pt>
                <c:pt idx="164">
                  <c:v>482.64681888623454</c:v>
                </c:pt>
                <c:pt idx="165">
                  <c:v>485.462258663071</c:v>
                </c:pt>
                <c:pt idx="166">
                  <c:v>488.29412183860541</c:v>
                </c:pt>
                <c:pt idx="167">
                  <c:v>491.14250421599741</c:v>
                </c:pt>
                <c:pt idx="168">
                  <c:v>494.00750215725736</c:v>
                </c:pt>
                <c:pt idx="169">
                  <c:v>496.88921258650805</c:v>
                </c:pt>
                <c:pt idx="170">
                  <c:v>499.78773299326269</c:v>
                </c:pt>
                <c:pt idx="171">
                  <c:v>502.70316143572336</c:v>
                </c:pt>
                <c:pt idx="172">
                  <c:v>505.63559654409846</c:v>
                </c:pt>
                <c:pt idx="173">
                  <c:v>508.58513752393901</c:v>
                </c:pt>
                <c:pt idx="174">
                  <c:v>511.55188415949533</c:v>
                </c:pt>
                <c:pt idx="175">
                  <c:v>514.53593681709242</c:v>
                </c:pt>
                <c:pt idx="176">
                  <c:v>517.53739644852544</c:v>
                </c:pt>
                <c:pt idx="177">
                  <c:v>520.55636459447521</c:v>
                </c:pt>
                <c:pt idx="178">
                  <c:v>523.59294338794291</c:v>
                </c:pt>
                <c:pt idx="179">
                  <c:v>526.64723555770593</c:v>
                </c:pt>
                <c:pt idx="180">
                  <c:v>529.71934443179248</c:v>
                </c:pt>
                <c:pt idx="181">
                  <c:v>532.80937394097805</c:v>
                </c:pt>
                <c:pt idx="182">
                  <c:v>535.91742862230035</c:v>
                </c:pt>
                <c:pt idx="183">
                  <c:v>539.04361362259726</c:v>
                </c:pt>
                <c:pt idx="184">
                  <c:v>542.1880347020624</c:v>
                </c:pt>
                <c:pt idx="185">
                  <c:v>545.35079823782439</c:v>
                </c:pt>
                <c:pt idx="186">
                  <c:v>548.53201122754513</c:v>
                </c:pt>
                <c:pt idx="187">
                  <c:v>551.73178129303915</c:v>
                </c:pt>
                <c:pt idx="188">
                  <c:v>554.95021668391507</c:v>
                </c:pt>
                <c:pt idx="189">
                  <c:v>558.18742628123789</c:v>
                </c:pt>
                <c:pt idx="190">
                  <c:v>561.44351960121185</c:v>
                </c:pt>
                <c:pt idx="191">
                  <c:v>564.71860679888562</c:v>
                </c:pt>
                <c:pt idx="192">
                  <c:v>568.01279867187907</c:v>
                </c:pt>
                <c:pt idx="193">
                  <c:v>571.32620666413175</c:v>
                </c:pt>
                <c:pt idx="194">
                  <c:v>574.65894286967239</c:v>
                </c:pt>
                <c:pt idx="195">
                  <c:v>578.01112003641208</c:v>
                </c:pt>
                <c:pt idx="196">
                  <c:v>581.38285156995789</c:v>
                </c:pt>
                <c:pt idx="197">
                  <c:v>584.77425153744935</c:v>
                </c:pt>
                <c:pt idx="198">
                  <c:v>588.18543467141785</c:v>
                </c:pt>
                <c:pt idx="199">
                  <c:v>591.61651637366776</c:v>
                </c:pt>
                <c:pt idx="200">
                  <c:v>595.06761271918083</c:v>
                </c:pt>
                <c:pt idx="201">
                  <c:v>598.53884046004271</c:v>
                </c:pt>
                <c:pt idx="202">
                  <c:v>602.0303170293929</c:v>
                </c:pt>
                <c:pt idx="203">
                  <c:v>605.54216054539768</c:v>
                </c:pt>
                <c:pt idx="204">
                  <c:v>609.07448981524578</c:v>
                </c:pt>
                <c:pt idx="205">
                  <c:v>612.6274243391681</c:v>
                </c:pt>
                <c:pt idx="206">
                  <c:v>616.20108431447989</c:v>
                </c:pt>
                <c:pt idx="207">
                  <c:v>619.79559063964768</c:v>
                </c:pt>
                <c:pt idx="208">
                  <c:v>623.41106491837888</c:v>
                </c:pt>
                <c:pt idx="209">
                  <c:v>627.04762946373614</c:v>
                </c:pt>
                <c:pt idx="210">
                  <c:v>630.70540730227469</c:v>
                </c:pt>
                <c:pt idx="211">
                  <c:v>634.38452217820463</c:v>
                </c:pt>
                <c:pt idx="212">
                  <c:v>638.08509855757745</c:v>
                </c:pt>
                <c:pt idx="213">
                  <c:v>641.80726163249676</c:v>
                </c:pt>
                <c:pt idx="214">
                  <c:v>645.5511373253529</c:v>
                </c:pt>
                <c:pt idx="215">
                  <c:v>649.31685229308414</c:v>
                </c:pt>
                <c:pt idx="216">
                  <c:v>653.10453393146054</c:v>
                </c:pt>
                <c:pt idx="217">
                  <c:v>656.91431037939412</c:v>
                </c:pt>
                <c:pt idx="218">
                  <c:v>660.74631052327391</c:v>
                </c:pt>
                <c:pt idx="219">
                  <c:v>664.60066400132632</c:v>
                </c:pt>
                <c:pt idx="220">
                  <c:v>668.47750120800083</c:v>
                </c:pt>
                <c:pt idx="221">
                  <c:v>672.37695329838073</c:v>
                </c:pt>
                <c:pt idx="222">
                  <c:v>676.29915219262125</c:v>
                </c:pt>
                <c:pt idx="223">
                  <c:v>680.24423058041157</c:v>
                </c:pt>
                <c:pt idx="224">
                  <c:v>684.21232192546393</c:v>
                </c:pt>
                <c:pt idx="225">
                  <c:v>688.20356047002917</c:v>
                </c:pt>
                <c:pt idx="226">
                  <c:v>692.21808123943765</c:v>
                </c:pt>
                <c:pt idx="227">
                  <c:v>696.25602004666769</c:v>
                </c:pt>
                <c:pt idx="228">
                  <c:v>700.3175134969398</c:v>
                </c:pt>
                <c:pt idx="229">
                  <c:v>704.40269899233863</c:v>
                </c:pt>
                <c:pt idx="230">
                  <c:v>708.5117147364607</c:v>
                </c:pt>
                <c:pt idx="231">
                  <c:v>712.64469973909002</c:v>
                </c:pt>
                <c:pt idx="232">
                  <c:v>716.80179382090137</c:v>
                </c:pt>
                <c:pt idx="233">
                  <c:v>720.98313761818997</c:v>
                </c:pt>
                <c:pt idx="234">
                  <c:v>725.18887258762936</c:v>
                </c:pt>
                <c:pt idx="235">
                  <c:v>729.41914101105726</c:v>
                </c:pt>
                <c:pt idx="236">
                  <c:v>733.67408600028841</c:v>
                </c:pt>
                <c:pt idx="237">
                  <c:v>737.95385150195671</c:v>
                </c:pt>
                <c:pt idx="238">
                  <c:v>742.25858230238475</c:v>
                </c:pt>
                <c:pt idx="239">
                  <c:v>746.58842403248207</c:v>
                </c:pt>
                <c:pt idx="240">
                  <c:v>750.94352317267158</c:v>
                </c:pt>
                <c:pt idx="241">
                  <c:v>755.32402705784557</c:v>
                </c:pt>
                <c:pt idx="242">
                  <c:v>759.73008388234962</c:v>
                </c:pt>
                <c:pt idx="243">
                  <c:v>764.16184270499662</c:v>
                </c:pt>
                <c:pt idx="244">
                  <c:v>768.61945345410902</c:v>
                </c:pt>
                <c:pt idx="245">
                  <c:v>773.10306693259145</c:v>
                </c:pt>
                <c:pt idx="246">
                  <c:v>777.61283482303145</c:v>
                </c:pt>
                <c:pt idx="247">
                  <c:v>782.14890969283249</c:v>
                </c:pt>
                <c:pt idx="248">
                  <c:v>786.71144499937395</c:v>
                </c:pt>
                <c:pt idx="249">
                  <c:v>791.30059509520356</c:v>
                </c:pt>
                <c:pt idx="250">
                  <c:v>795.91651523325902</c:v>
                </c:pt>
                <c:pt idx="251">
                  <c:v>800.55936157211966</c:v>
                </c:pt>
                <c:pt idx="252">
                  <c:v>805.22929118129036</c:v>
                </c:pt>
                <c:pt idx="253">
                  <c:v>809.92646204651442</c:v>
                </c:pt>
                <c:pt idx="254">
                  <c:v>814.65103307511913</c:v>
                </c:pt>
                <c:pt idx="255">
                  <c:v>819.40316410139064</c:v>
                </c:pt>
                <c:pt idx="256">
                  <c:v>824.18301589198211</c:v>
                </c:pt>
                <c:pt idx="257">
                  <c:v>828.9907501513519</c:v>
                </c:pt>
                <c:pt idx="258">
                  <c:v>833.82652952723481</c:v>
                </c:pt>
                <c:pt idx="259">
                  <c:v>838.69051761614367</c:v>
                </c:pt>
                <c:pt idx="260">
                  <c:v>843.58287896890442</c:v>
                </c:pt>
                <c:pt idx="261">
                  <c:v>848.50377909622307</c:v>
                </c:pt>
                <c:pt idx="262">
                  <c:v>853.45338447428435</c:v>
                </c:pt>
                <c:pt idx="263">
                  <c:v>858.43186255038438</c:v>
                </c:pt>
                <c:pt idx="264">
                  <c:v>863.43938174859488</c:v>
                </c:pt>
                <c:pt idx="265">
                  <c:v>868.47611147546172</c:v>
                </c:pt>
                <c:pt idx="266">
                  <c:v>873.54222212573529</c:v>
                </c:pt>
                <c:pt idx="267">
                  <c:v>878.63788508813536</c:v>
                </c:pt>
                <c:pt idx="268">
                  <c:v>883.76327275114954</c:v>
                </c:pt>
                <c:pt idx="269">
                  <c:v>888.91855850886452</c:v>
                </c:pt>
                <c:pt idx="270">
                  <c:v>894.10391676683298</c:v>
                </c:pt>
                <c:pt idx="271">
                  <c:v>899.31952294797281</c:v>
                </c:pt>
                <c:pt idx="272">
                  <c:v>904.56555349850271</c:v>
                </c:pt>
                <c:pt idx="273">
                  <c:v>909.8421858939106</c:v>
                </c:pt>
                <c:pt idx="274">
                  <c:v>915.14959864495847</c:v>
                </c:pt>
                <c:pt idx="275">
                  <c:v>920.48797130372066</c:v>
                </c:pt>
                <c:pt idx="276">
                  <c:v>925.85748446965908</c:v>
                </c:pt>
                <c:pt idx="277">
                  <c:v>931.25831979573206</c:v>
                </c:pt>
                <c:pt idx="278">
                  <c:v>936.69065999454051</c:v>
                </c:pt>
                <c:pt idx="279">
                  <c:v>942.15468884450866</c:v>
                </c:pt>
                <c:pt idx="280">
                  <c:v>947.65059119610157</c:v>
                </c:pt>
                <c:pt idx="281">
                  <c:v>953.17855297807887</c:v>
                </c:pt>
                <c:pt idx="282">
                  <c:v>958.73876120378429</c:v>
                </c:pt>
                <c:pt idx="283">
                  <c:v>964.33140397747309</c:v>
                </c:pt>
                <c:pt idx="284">
                  <c:v>969.95667050067493</c:v>
                </c:pt>
                <c:pt idx="285">
                  <c:v>975.61475107859553</c:v>
                </c:pt>
                <c:pt idx="286">
                  <c:v>981.30583712655402</c:v>
                </c:pt>
                <c:pt idx="287">
                  <c:v>987.03012117645892</c:v>
                </c:pt>
                <c:pt idx="288">
                  <c:v>992.78779688332156</c:v>
                </c:pt>
                <c:pt idx="289">
                  <c:v>998.57905903180756</c:v>
                </c:pt>
                <c:pt idx="290">
                  <c:v>1004.4041035428265</c:v>
                </c:pt>
                <c:pt idx="291">
                  <c:v>1010.2631274801597</c:v>
                </c:pt>
                <c:pt idx="292">
                  <c:v>1016.1563290571272</c:v>
                </c:pt>
                <c:pt idx="293">
                  <c:v>1022.0839076432937</c:v>
                </c:pt>
                <c:pt idx="294">
                  <c:v>1028.0460637712129</c:v>
                </c:pt>
                <c:pt idx="295">
                  <c:v>1034.0429991432115</c:v>
                </c:pt>
                <c:pt idx="296">
                  <c:v>1040.0749166382138</c:v>
                </c:pt>
                <c:pt idx="297">
                  <c:v>1046.1420203186033</c:v>
                </c:pt>
                <c:pt idx="298">
                  <c:v>1052.2445154371285</c:v>
                </c:pt>
                <c:pt idx="299">
                  <c:v>1058.3826084438451</c:v>
                </c:pt>
                <c:pt idx="300">
                  <c:v>1064.5565069931008</c:v>
                </c:pt>
                <c:pt idx="301">
                  <c:v>1070.7664199505607</c:v>
                </c:pt>
                <c:pt idx="302">
                  <c:v>1077.0125574002723</c:v>
                </c:pt>
                <c:pt idx="303">
                  <c:v>1083.2951306517739</c:v>
                </c:pt>
                <c:pt idx="304">
                  <c:v>1089.6143522472426</c:v>
                </c:pt>
                <c:pt idx="305">
                  <c:v>1095.9704359686848</c:v>
                </c:pt>
                <c:pt idx="306">
                  <c:v>1102.3635968451688</c:v>
                </c:pt>
                <c:pt idx="307">
                  <c:v>1108.7940511600989</c:v>
                </c:pt>
                <c:pt idx="308">
                  <c:v>1115.2620164585328</c:v>
                </c:pt>
                <c:pt idx="309">
                  <c:v>1121.7677115545412</c:v>
                </c:pt>
                <c:pt idx="310">
                  <c:v>1128.3113565386093</c:v>
                </c:pt>
                <c:pt idx="311">
                  <c:v>1134.8931727850845</c:v>
                </c:pt>
                <c:pt idx="312">
                  <c:v>1141.5133829596641</c:v>
                </c:pt>
                <c:pt idx="313">
                  <c:v>1148.1722110269288</c:v>
                </c:pt>
                <c:pt idx="314">
                  <c:v>1154.8698822579192</c:v>
                </c:pt>
                <c:pt idx="315">
                  <c:v>1161.606623237757</c:v>
                </c:pt>
                <c:pt idx="316">
                  <c:v>1168.3826618733106</c:v>
                </c:pt>
                <c:pt idx="317">
                  <c:v>1175.1982274009049</c:v>
                </c:pt>
                <c:pt idx="318">
                  <c:v>1182.0535503940769</c:v>
                </c:pt>
                <c:pt idx="319">
                  <c:v>1188.9488627713756</c:v>
                </c:pt>
                <c:pt idx="320">
                  <c:v>1195.8843978042087</c:v>
                </c:pt>
                <c:pt idx="321">
                  <c:v>1202.8603901247334</c:v>
                </c:pt>
                <c:pt idx="322">
                  <c:v>1209.8770757337943</c:v>
                </c:pt>
                <c:pt idx="323">
                  <c:v>1216.9346920089079</c:v>
                </c:pt>
                <c:pt idx="324">
                  <c:v>1224.0334777122932</c:v>
                </c:pt>
                <c:pt idx="325">
                  <c:v>1231.1736729989484</c:v>
                </c:pt>
                <c:pt idx="326">
                  <c:v>1238.3555194247756</c:v>
                </c:pt>
                <c:pt idx="327">
                  <c:v>1245.5792599547533</c:v>
                </c:pt>
                <c:pt idx="328">
                  <c:v>1252.8451389711561</c:v>
                </c:pt>
                <c:pt idx="329">
                  <c:v>1260.1534022818212</c:v>
                </c:pt>
                <c:pt idx="330">
                  <c:v>1267.5042971284652</c:v>
                </c:pt>
                <c:pt idx="331">
                  <c:v>1274.8980721950479</c:v>
                </c:pt>
                <c:pt idx="332">
                  <c:v>1282.3349776161856</c:v>
                </c:pt>
                <c:pt idx="333">
                  <c:v>1289.8152649856133</c:v>
                </c:pt>
                <c:pt idx="334">
                  <c:v>1297.339187364696</c:v>
                </c:pt>
                <c:pt idx="335">
                  <c:v>1304.9069992909901</c:v>
                </c:pt>
                <c:pt idx="336">
                  <c:v>1312.5189567868542</c:v>
                </c:pt>
                <c:pt idx="337">
                  <c:v>1320.1753173681109</c:v>
                </c:pt>
                <c:pt idx="338">
                  <c:v>1327.8763400527582</c:v>
                </c:pt>
                <c:pt idx="339">
                  <c:v>1335.6222853697327</c:v>
                </c:pt>
                <c:pt idx="340">
                  <c:v>1343.4134153677228</c:v>
                </c:pt>
                <c:pt idx="341">
                  <c:v>1351.2499936240345</c:v>
                </c:pt>
                <c:pt idx="342">
                  <c:v>1359.1322852535081</c:v>
                </c:pt>
                <c:pt idx="343">
                  <c:v>1367.0605569174868</c:v>
                </c:pt>
                <c:pt idx="344">
                  <c:v>1375.035076832839</c:v>
                </c:pt>
                <c:pt idx="345">
                  <c:v>1383.0561147810304</c:v>
                </c:pt>
                <c:pt idx="346">
                  <c:v>1391.1239421172531</c:v>
                </c:pt>
                <c:pt idx="347">
                  <c:v>1399.2388317796037</c:v>
                </c:pt>
                <c:pt idx="348">
                  <c:v>1407.401058298318</c:v>
                </c:pt>
                <c:pt idx="349">
                  <c:v>1415.6108978050584</c:v>
                </c:pt>
                <c:pt idx="350">
                  <c:v>1423.8686280422544</c:v>
                </c:pt>
                <c:pt idx="351">
                  <c:v>1432.1745283725008</c:v>
                </c:pt>
                <c:pt idx="352">
                  <c:v>1440.5288797880071</c:v>
                </c:pt>
                <c:pt idx="353">
                  <c:v>1448.9319649201038</c:v>
                </c:pt>
                <c:pt idx="354">
                  <c:v>1457.3840680488045</c:v>
                </c:pt>
                <c:pt idx="355">
                  <c:v>1465.8854751124225</c:v>
                </c:pt>
                <c:pt idx="356">
                  <c:v>1474.436473717245</c:v>
                </c:pt>
                <c:pt idx="357">
                  <c:v>1483.0373531472624</c:v>
                </c:pt>
                <c:pt idx="358">
                  <c:v>1491.6884043739547</c:v>
                </c:pt>
                <c:pt idx="359">
                  <c:v>1500.389920066136</c:v>
                </c:pt>
                <c:pt idx="360">
                  <c:v>1509.1421945998552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1B-43BB-9AB6-DFA82E37EED0}"/>
            </c:ext>
          </c:extLst>
        </c:ser>
        <c:ser>
          <c:idx val="2"/>
          <c:order val="2"/>
          <c:tx>
            <c:strRef>
              <c:f>'Flujos Mensuales'!$H$13</c:f>
              <c:strCache>
                <c:ptCount val="1"/>
                <c:pt idx="0">
                  <c:v>Impuestos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Mensuales'!$H$14:$H$374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349.68290824885821</c:v>
                </c:pt>
                <c:pt idx="2">
                  <c:v>349.68290824885821</c:v>
                </c:pt>
                <c:pt idx="3">
                  <c:v>349.68290824885821</c:v>
                </c:pt>
                <c:pt idx="4">
                  <c:v>349.68290824885821</c:v>
                </c:pt>
                <c:pt idx="5">
                  <c:v>349.68290824885821</c:v>
                </c:pt>
                <c:pt idx="6">
                  <c:v>349.68290824885821</c:v>
                </c:pt>
                <c:pt idx="7">
                  <c:v>349.68290824885821</c:v>
                </c:pt>
                <c:pt idx="8">
                  <c:v>349.68290824885821</c:v>
                </c:pt>
                <c:pt idx="9">
                  <c:v>349.68290824885821</c:v>
                </c:pt>
                <c:pt idx="10">
                  <c:v>349.68290824885821</c:v>
                </c:pt>
                <c:pt idx="11">
                  <c:v>349.68290824885821</c:v>
                </c:pt>
                <c:pt idx="12">
                  <c:v>352.08456167908804</c:v>
                </c:pt>
                <c:pt idx="13">
                  <c:v>352.08456167908804</c:v>
                </c:pt>
                <c:pt idx="14">
                  <c:v>352.08456167908804</c:v>
                </c:pt>
                <c:pt idx="15">
                  <c:v>352.08456167908804</c:v>
                </c:pt>
                <c:pt idx="16">
                  <c:v>352.08456167908804</c:v>
                </c:pt>
                <c:pt idx="17">
                  <c:v>352.08456167908804</c:v>
                </c:pt>
                <c:pt idx="18">
                  <c:v>352.08456167908804</c:v>
                </c:pt>
                <c:pt idx="19">
                  <c:v>352.08456167908804</c:v>
                </c:pt>
                <c:pt idx="20">
                  <c:v>352.08456167908804</c:v>
                </c:pt>
                <c:pt idx="21">
                  <c:v>352.08456167908804</c:v>
                </c:pt>
                <c:pt idx="22">
                  <c:v>352.08456167908804</c:v>
                </c:pt>
                <c:pt idx="23">
                  <c:v>352.08456167908804</c:v>
                </c:pt>
                <c:pt idx="24">
                  <c:v>354.50270987947351</c:v>
                </c:pt>
                <c:pt idx="25">
                  <c:v>354.50270987947351</c:v>
                </c:pt>
                <c:pt idx="26">
                  <c:v>354.50270987947351</c:v>
                </c:pt>
                <c:pt idx="27">
                  <c:v>354.50270987947351</c:v>
                </c:pt>
                <c:pt idx="28">
                  <c:v>354.50270987947351</c:v>
                </c:pt>
                <c:pt idx="29">
                  <c:v>354.50270987947351</c:v>
                </c:pt>
                <c:pt idx="30">
                  <c:v>354.50270987947351</c:v>
                </c:pt>
                <c:pt idx="31">
                  <c:v>354.50270987947351</c:v>
                </c:pt>
                <c:pt idx="32">
                  <c:v>354.50270987947351</c:v>
                </c:pt>
                <c:pt idx="33">
                  <c:v>354.50270987947351</c:v>
                </c:pt>
                <c:pt idx="34">
                  <c:v>354.50270987947351</c:v>
                </c:pt>
                <c:pt idx="35">
                  <c:v>354.50270987947351</c:v>
                </c:pt>
                <c:pt idx="36">
                  <c:v>356.93746613756866</c:v>
                </c:pt>
                <c:pt idx="37">
                  <c:v>356.93746613756866</c:v>
                </c:pt>
                <c:pt idx="38">
                  <c:v>356.93746613756866</c:v>
                </c:pt>
                <c:pt idx="39">
                  <c:v>356.93746613756866</c:v>
                </c:pt>
                <c:pt idx="40">
                  <c:v>356.93746613756866</c:v>
                </c:pt>
                <c:pt idx="41">
                  <c:v>356.93746613756866</c:v>
                </c:pt>
                <c:pt idx="42">
                  <c:v>356.93746613756866</c:v>
                </c:pt>
                <c:pt idx="43">
                  <c:v>356.93746613756866</c:v>
                </c:pt>
                <c:pt idx="44">
                  <c:v>356.93746613756866</c:v>
                </c:pt>
                <c:pt idx="45">
                  <c:v>356.93746613756866</c:v>
                </c:pt>
                <c:pt idx="46">
                  <c:v>356.93746613756866</c:v>
                </c:pt>
                <c:pt idx="47">
                  <c:v>356.93746613756866</c:v>
                </c:pt>
                <c:pt idx="48">
                  <c:v>359.38894451899631</c:v>
                </c:pt>
                <c:pt idx="49">
                  <c:v>359.38894451899631</c:v>
                </c:pt>
                <c:pt idx="50">
                  <c:v>359.38894451899631</c:v>
                </c:pt>
                <c:pt idx="51">
                  <c:v>359.38894451899631</c:v>
                </c:pt>
                <c:pt idx="52">
                  <c:v>359.38894451899631</c:v>
                </c:pt>
                <c:pt idx="53">
                  <c:v>359.38894451899631</c:v>
                </c:pt>
                <c:pt idx="54">
                  <c:v>359.38894451899631</c:v>
                </c:pt>
                <c:pt idx="55">
                  <c:v>359.38894451899631</c:v>
                </c:pt>
                <c:pt idx="56">
                  <c:v>359.38894451899631</c:v>
                </c:pt>
                <c:pt idx="57">
                  <c:v>359.38894451899631</c:v>
                </c:pt>
                <c:pt idx="58">
                  <c:v>359.38894451899631</c:v>
                </c:pt>
                <c:pt idx="59">
                  <c:v>359.38894451899631</c:v>
                </c:pt>
                <c:pt idx="60">
                  <c:v>361.85725987279238</c:v>
                </c:pt>
                <c:pt idx="61">
                  <c:v>361.85725987279238</c:v>
                </c:pt>
                <c:pt idx="62">
                  <c:v>361.85725987279238</c:v>
                </c:pt>
                <c:pt idx="63">
                  <c:v>361.85725987279238</c:v>
                </c:pt>
                <c:pt idx="64">
                  <c:v>361.85725987279238</c:v>
                </c:pt>
                <c:pt idx="65">
                  <c:v>361.85725987279238</c:v>
                </c:pt>
                <c:pt idx="66">
                  <c:v>361.85725987279238</c:v>
                </c:pt>
                <c:pt idx="67">
                  <c:v>361.85725987279238</c:v>
                </c:pt>
                <c:pt idx="68">
                  <c:v>361.85725987279238</c:v>
                </c:pt>
                <c:pt idx="69">
                  <c:v>361.85725987279238</c:v>
                </c:pt>
                <c:pt idx="70">
                  <c:v>361.85725987279238</c:v>
                </c:pt>
                <c:pt idx="71">
                  <c:v>361.85725987279238</c:v>
                </c:pt>
                <c:pt idx="72">
                  <c:v>364.34252783678613</c:v>
                </c:pt>
                <c:pt idx="73">
                  <c:v>364.34252783678613</c:v>
                </c:pt>
                <c:pt idx="74">
                  <c:v>364.34252783678613</c:v>
                </c:pt>
                <c:pt idx="75">
                  <c:v>364.34252783678613</c:v>
                </c:pt>
                <c:pt idx="76">
                  <c:v>364.34252783678613</c:v>
                </c:pt>
                <c:pt idx="77">
                  <c:v>364.34252783678613</c:v>
                </c:pt>
                <c:pt idx="78">
                  <c:v>364.34252783678613</c:v>
                </c:pt>
                <c:pt idx="79">
                  <c:v>364.34252783678613</c:v>
                </c:pt>
                <c:pt idx="80">
                  <c:v>364.34252783678613</c:v>
                </c:pt>
                <c:pt idx="81">
                  <c:v>364.34252783678613</c:v>
                </c:pt>
                <c:pt idx="82">
                  <c:v>364.34252783678613</c:v>
                </c:pt>
                <c:pt idx="83">
                  <c:v>364.34252783678613</c:v>
                </c:pt>
                <c:pt idx="84">
                  <c:v>366.84486484301777</c:v>
                </c:pt>
                <c:pt idx="85">
                  <c:v>366.84486484301777</c:v>
                </c:pt>
                <c:pt idx="86">
                  <c:v>366.84486484301777</c:v>
                </c:pt>
                <c:pt idx="87">
                  <c:v>366.84486484301777</c:v>
                </c:pt>
                <c:pt idx="88">
                  <c:v>366.84486484301777</c:v>
                </c:pt>
                <c:pt idx="89">
                  <c:v>366.84486484301777</c:v>
                </c:pt>
                <c:pt idx="90">
                  <c:v>366.84486484301777</c:v>
                </c:pt>
                <c:pt idx="91">
                  <c:v>366.84486484301777</c:v>
                </c:pt>
                <c:pt idx="92">
                  <c:v>366.84486484301777</c:v>
                </c:pt>
                <c:pt idx="93">
                  <c:v>366.84486484301777</c:v>
                </c:pt>
                <c:pt idx="94">
                  <c:v>366.84486484301777</c:v>
                </c:pt>
                <c:pt idx="95">
                  <c:v>366.84486484301777</c:v>
                </c:pt>
                <c:pt idx="96">
                  <c:v>369.36438812319312</c:v>
                </c:pt>
                <c:pt idx="97">
                  <c:v>369.36438812319312</c:v>
                </c:pt>
                <c:pt idx="98">
                  <c:v>369.36438812319312</c:v>
                </c:pt>
                <c:pt idx="99">
                  <c:v>369.36438812319312</c:v>
                </c:pt>
                <c:pt idx="100">
                  <c:v>369.36438812319312</c:v>
                </c:pt>
                <c:pt idx="101">
                  <c:v>369.36438812319312</c:v>
                </c:pt>
                <c:pt idx="102">
                  <c:v>369.36438812319312</c:v>
                </c:pt>
                <c:pt idx="103">
                  <c:v>369.36438812319312</c:v>
                </c:pt>
                <c:pt idx="104">
                  <c:v>369.36438812319312</c:v>
                </c:pt>
                <c:pt idx="105">
                  <c:v>369.36438812319312</c:v>
                </c:pt>
                <c:pt idx="106">
                  <c:v>369.36438812319312</c:v>
                </c:pt>
                <c:pt idx="107">
                  <c:v>369.36438812319312</c:v>
                </c:pt>
                <c:pt idx="108">
                  <c:v>371.90121571417598</c:v>
                </c:pt>
                <c:pt idx="109">
                  <c:v>371.90121571417598</c:v>
                </c:pt>
                <c:pt idx="110">
                  <c:v>371.90121571417598</c:v>
                </c:pt>
                <c:pt idx="111">
                  <c:v>371.90121571417598</c:v>
                </c:pt>
                <c:pt idx="112">
                  <c:v>371.90121571417598</c:v>
                </c:pt>
                <c:pt idx="113">
                  <c:v>371.90121571417598</c:v>
                </c:pt>
                <c:pt idx="114">
                  <c:v>371.90121571417598</c:v>
                </c:pt>
                <c:pt idx="115">
                  <c:v>371.90121571417598</c:v>
                </c:pt>
                <c:pt idx="116">
                  <c:v>371.90121571417598</c:v>
                </c:pt>
                <c:pt idx="117">
                  <c:v>371.90121571417598</c:v>
                </c:pt>
                <c:pt idx="118">
                  <c:v>371.90121571417598</c:v>
                </c:pt>
                <c:pt idx="119">
                  <c:v>371.90121571417598</c:v>
                </c:pt>
                <c:pt idx="120">
                  <c:v>374.4554664635175</c:v>
                </c:pt>
                <c:pt idx="121">
                  <c:v>374.4554664635175</c:v>
                </c:pt>
                <c:pt idx="122">
                  <c:v>374.4554664635175</c:v>
                </c:pt>
                <c:pt idx="123">
                  <c:v>374.4554664635175</c:v>
                </c:pt>
                <c:pt idx="124">
                  <c:v>374.4554664635175</c:v>
                </c:pt>
                <c:pt idx="125">
                  <c:v>374.4554664635175</c:v>
                </c:pt>
                <c:pt idx="126">
                  <c:v>374.4554664635175</c:v>
                </c:pt>
                <c:pt idx="127">
                  <c:v>374.4554664635175</c:v>
                </c:pt>
                <c:pt idx="128">
                  <c:v>374.4554664635175</c:v>
                </c:pt>
                <c:pt idx="129">
                  <c:v>374.4554664635175</c:v>
                </c:pt>
                <c:pt idx="130">
                  <c:v>374.4554664635175</c:v>
                </c:pt>
                <c:pt idx="131">
                  <c:v>374.4554664635175</c:v>
                </c:pt>
                <c:pt idx="132">
                  <c:v>377.02726003502488</c:v>
                </c:pt>
                <c:pt idx="133">
                  <c:v>377.02726003502488</c:v>
                </c:pt>
                <c:pt idx="134">
                  <c:v>377.02726003502488</c:v>
                </c:pt>
                <c:pt idx="135">
                  <c:v>377.02726003502488</c:v>
                </c:pt>
                <c:pt idx="136">
                  <c:v>377.02726003502488</c:v>
                </c:pt>
                <c:pt idx="137">
                  <c:v>377.02726003502488</c:v>
                </c:pt>
                <c:pt idx="138">
                  <c:v>377.02726003502488</c:v>
                </c:pt>
                <c:pt idx="139">
                  <c:v>377.02726003502488</c:v>
                </c:pt>
                <c:pt idx="140">
                  <c:v>377.02726003502488</c:v>
                </c:pt>
                <c:pt idx="141">
                  <c:v>377.02726003502488</c:v>
                </c:pt>
                <c:pt idx="142">
                  <c:v>377.02726003502488</c:v>
                </c:pt>
                <c:pt idx="143">
                  <c:v>377.02726003502488</c:v>
                </c:pt>
                <c:pt idx="144">
                  <c:v>379.61671691436663</c:v>
                </c:pt>
                <c:pt idx="145">
                  <c:v>379.61671691436663</c:v>
                </c:pt>
                <c:pt idx="146">
                  <c:v>379.61671691436663</c:v>
                </c:pt>
                <c:pt idx="147">
                  <c:v>379.61671691436663</c:v>
                </c:pt>
                <c:pt idx="148">
                  <c:v>379.61671691436663</c:v>
                </c:pt>
                <c:pt idx="149">
                  <c:v>379.61671691436663</c:v>
                </c:pt>
                <c:pt idx="150">
                  <c:v>379.61671691436663</c:v>
                </c:pt>
                <c:pt idx="151">
                  <c:v>379.61671691436663</c:v>
                </c:pt>
                <c:pt idx="152">
                  <c:v>379.61671691436663</c:v>
                </c:pt>
                <c:pt idx="153">
                  <c:v>379.61671691436663</c:v>
                </c:pt>
                <c:pt idx="154">
                  <c:v>379.61671691436663</c:v>
                </c:pt>
                <c:pt idx="155">
                  <c:v>379.61671691436663</c:v>
                </c:pt>
                <c:pt idx="156">
                  <c:v>382.22395841471803</c:v>
                </c:pt>
                <c:pt idx="157">
                  <c:v>382.22395841471803</c:v>
                </c:pt>
                <c:pt idx="158">
                  <c:v>382.22395841471803</c:v>
                </c:pt>
                <c:pt idx="159">
                  <c:v>382.22395841471803</c:v>
                </c:pt>
                <c:pt idx="160">
                  <c:v>382.22395841471803</c:v>
                </c:pt>
                <c:pt idx="161">
                  <c:v>382.22395841471803</c:v>
                </c:pt>
                <c:pt idx="162">
                  <c:v>382.22395841471803</c:v>
                </c:pt>
                <c:pt idx="163">
                  <c:v>382.22395841471803</c:v>
                </c:pt>
                <c:pt idx="164">
                  <c:v>382.22395841471803</c:v>
                </c:pt>
                <c:pt idx="165">
                  <c:v>382.22395841471803</c:v>
                </c:pt>
                <c:pt idx="166">
                  <c:v>382.22395841471803</c:v>
                </c:pt>
                <c:pt idx="167">
                  <c:v>382.22395841471803</c:v>
                </c:pt>
                <c:pt idx="168">
                  <c:v>384.84910668244362</c:v>
                </c:pt>
                <c:pt idx="169">
                  <c:v>384.84910668244362</c:v>
                </c:pt>
                <c:pt idx="170">
                  <c:v>384.84910668244362</c:v>
                </c:pt>
                <c:pt idx="171">
                  <c:v>384.84910668244362</c:v>
                </c:pt>
                <c:pt idx="172">
                  <c:v>384.84910668244362</c:v>
                </c:pt>
                <c:pt idx="173">
                  <c:v>384.84910668244362</c:v>
                </c:pt>
                <c:pt idx="174">
                  <c:v>384.84910668244362</c:v>
                </c:pt>
                <c:pt idx="175">
                  <c:v>384.84910668244362</c:v>
                </c:pt>
                <c:pt idx="176">
                  <c:v>384.84910668244362</c:v>
                </c:pt>
                <c:pt idx="177">
                  <c:v>384.84910668244362</c:v>
                </c:pt>
                <c:pt idx="178">
                  <c:v>384.84910668244362</c:v>
                </c:pt>
                <c:pt idx="179">
                  <c:v>384.84910668244362</c:v>
                </c:pt>
                <c:pt idx="180">
                  <c:v>387.4922847028202</c:v>
                </c:pt>
                <c:pt idx="181">
                  <c:v>387.4922847028202</c:v>
                </c:pt>
                <c:pt idx="182">
                  <c:v>387.4922847028202</c:v>
                </c:pt>
                <c:pt idx="183">
                  <c:v>387.4922847028202</c:v>
                </c:pt>
                <c:pt idx="184">
                  <c:v>387.4922847028202</c:v>
                </c:pt>
                <c:pt idx="185">
                  <c:v>387.4922847028202</c:v>
                </c:pt>
                <c:pt idx="186">
                  <c:v>387.4922847028202</c:v>
                </c:pt>
                <c:pt idx="187">
                  <c:v>387.4922847028202</c:v>
                </c:pt>
                <c:pt idx="188">
                  <c:v>387.4922847028202</c:v>
                </c:pt>
                <c:pt idx="189">
                  <c:v>387.4922847028202</c:v>
                </c:pt>
                <c:pt idx="190">
                  <c:v>387.4922847028202</c:v>
                </c:pt>
                <c:pt idx="191">
                  <c:v>387.4922847028202</c:v>
                </c:pt>
                <c:pt idx="192">
                  <c:v>390.15361630579872</c:v>
                </c:pt>
                <c:pt idx="193">
                  <c:v>390.15361630579872</c:v>
                </c:pt>
                <c:pt idx="194">
                  <c:v>390.15361630579872</c:v>
                </c:pt>
                <c:pt idx="195">
                  <c:v>390.15361630579872</c:v>
                </c:pt>
                <c:pt idx="196">
                  <c:v>390.15361630579872</c:v>
                </c:pt>
                <c:pt idx="197">
                  <c:v>390.15361630579872</c:v>
                </c:pt>
                <c:pt idx="198">
                  <c:v>390.15361630579872</c:v>
                </c:pt>
                <c:pt idx="199">
                  <c:v>390.15361630579872</c:v>
                </c:pt>
                <c:pt idx="200">
                  <c:v>390.15361630579872</c:v>
                </c:pt>
                <c:pt idx="201">
                  <c:v>390.15361630579872</c:v>
                </c:pt>
                <c:pt idx="202">
                  <c:v>390.15361630579872</c:v>
                </c:pt>
                <c:pt idx="203">
                  <c:v>390.15361630579872</c:v>
                </c:pt>
                <c:pt idx="204">
                  <c:v>392.83322617180494</c:v>
                </c:pt>
                <c:pt idx="205">
                  <c:v>392.83322617180494</c:v>
                </c:pt>
                <c:pt idx="206">
                  <c:v>392.83322617180494</c:v>
                </c:pt>
                <c:pt idx="207">
                  <c:v>392.83322617180494</c:v>
                </c:pt>
                <c:pt idx="208">
                  <c:v>392.83322617180494</c:v>
                </c:pt>
                <c:pt idx="209">
                  <c:v>392.83322617180494</c:v>
                </c:pt>
                <c:pt idx="210">
                  <c:v>392.83322617180494</c:v>
                </c:pt>
                <c:pt idx="211">
                  <c:v>392.83322617180494</c:v>
                </c:pt>
                <c:pt idx="212">
                  <c:v>392.83322617180494</c:v>
                </c:pt>
                <c:pt idx="213">
                  <c:v>392.83322617180494</c:v>
                </c:pt>
                <c:pt idx="214">
                  <c:v>392.83322617180494</c:v>
                </c:pt>
                <c:pt idx="215">
                  <c:v>392.83322617180494</c:v>
                </c:pt>
                <c:pt idx="216">
                  <c:v>395.5312398375811</c:v>
                </c:pt>
                <c:pt idx="217">
                  <c:v>395.5312398375811</c:v>
                </c:pt>
                <c:pt idx="218">
                  <c:v>395.5312398375811</c:v>
                </c:pt>
                <c:pt idx="219">
                  <c:v>395.5312398375811</c:v>
                </c:pt>
                <c:pt idx="220">
                  <c:v>395.5312398375811</c:v>
                </c:pt>
                <c:pt idx="221">
                  <c:v>395.5312398375811</c:v>
                </c:pt>
                <c:pt idx="222">
                  <c:v>395.5312398375811</c:v>
                </c:pt>
                <c:pt idx="223">
                  <c:v>395.5312398375811</c:v>
                </c:pt>
                <c:pt idx="224">
                  <c:v>395.5312398375811</c:v>
                </c:pt>
                <c:pt idx="225">
                  <c:v>395.5312398375811</c:v>
                </c:pt>
                <c:pt idx="226">
                  <c:v>395.5312398375811</c:v>
                </c:pt>
                <c:pt idx="227">
                  <c:v>395.5312398375811</c:v>
                </c:pt>
                <c:pt idx="228">
                  <c:v>398.2477837020669</c:v>
                </c:pt>
                <c:pt idx="229">
                  <c:v>398.2477837020669</c:v>
                </c:pt>
                <c:pt idx="230">
                  <c:v>398.2477837020669</c:v>
                </c:pt>
                <c:pt idx="231">
                  <c:v>398.2477837020669</c:v>
                </c:pt>
                <c:pt idx="232">
                  <c:v>398.2477837020669</c:v>
                </c:pt>
                <c:pt idx="233">
                  <c:v>398.2477837020669</c:v>
                </c:pt>
                <c:pt idx="234">
                  <c:v>398.2477837020669</c:v>
                </c:pt>
                <c:pt idx="235">
                  <c:v>398.2477837020669</c:v>
                </c:pt>
                <c:pt idx="236">
                  <c:v>398.2477837020669</c:v>
                </c:pt>
                <c:pt idx="237">
                  <c:v>398.2477837020669</c:v>
                </c:pt>
                <c:pt idx="238">
                  <c:v>398.2477837020669</c:v>
                </c:pt>
                <c:pt idx="239">
                  <c:v>398.2477837020669</c:v>
                </c:pt>
                <c:pt idx="240">
                  <c:v>400.98298503232121</c:v>
                </c:pt>
                <c:pt idx="241">
                  <c:v>400.98298503232121</c:v>
                </c:pt>
                <c:pt idx="242">
                  <c:v>400.98298503232121</c:v>
                </c:pt>
                <c:pt idx="243">
                  <c:v>400.98298503232121</c:v>
                </c:pt>
                <c:pt idx="244">
                  <c:v>400.98298503232121</c:v>
                </c:pt>
                <c:pt idx="245">
                  <c:v>400.98298503232121</c:v>
                </c:pt>
                <c:pt idx="246">
                  <c:v>400.98298503232121</c:v>
                </c:pt>
                <c:pt idx="247">
                  <c:v>400.98298503232121</c:v>
                </c:pt>
                <c:pt idx="248">
                  <c:v>400.98298503232121</c:v>
                </c:pt>
                <c:pt idx="249">
                  <c:v>400.98298503232121</c:v>
                </c:pt>
                <c:pt idx="250">
                  <c:v>400.98298503232121</c:v>
                </c:pt>
                <c:pt idx="251">
                  <c:v>400.98298503232121</c:v>
                </c:pt>
                <c:pt idx="252">
                  <c:v>403.73697196948461</c:v>
                </c:pt>
                <c:pt idx="253">
                  <c:v>403.73697196948461</c:v>
                </c:pt>
                <c:pt idx="254">
                  <c:v>403.73697196948461</c:v>
                </c:pt>
                <c:pt idx="255">
                  <c:v>403.73697196948461</c:v>
                </c:pt>
                <c:pt idx="256">
                  <c:v>403.73697196948461</c:v>
                </c:pt>
                <c:pt idx="257">
                  <c:v>403.73697196948461</c:v>
                </c:pt>
                <c:pt idx="258">
                  <c:v>403.73697196948461</c:v>
                </c:pt>
                <c:pt idx="259">
                  <c:v>403.73697196948461</c:v>
                </c:pt>
                <c:pt idx="260">
                  <c:v>403.73697196948461</c:v>
                </c:pt>
                <c:pt idx="261">
                  <c:v>403.73697196948461</c:v>
                </c:pt>
                <c:pt idx="262">
                  <c:v>403.73697196948461</c:v>
                </c:pt>
                <c:pt idx="263">
                  <c:v>403.73697196948461</c:v>
                </c:pt>
                <c:pt idx="264">
                  <c:v>406.5098735347824</c:v>
                </c:pt>
                <c:pt idx="265">
                  <c:v>406.5098735347824</c:v>
                </c:pt>
                <c:pt idx="266">
                  <c:v>406.5098735347824</c:v>
                </c:pt>
                <c:pt idx="267">
                  <c:v>406.5098735347824</c:v>
                </c:pt>
                <c:pt idx="268">
                  <c:v>406.5098735347824</c:v>
                </c:pt>
                <c:pt idx="269">
                  <c:v>406.5098735347824</c:v>
                </c:pt>
                <c:pt idx="270">
                  <c:v>406.5098735347824</c:v>
                </c:pt>
                <c:pt idx="271">
                  <c:v>406.5098735347824</c:v>
                </c:pt>
                <c:pt idx="272">
                  <c:v>406.5098735347824</c:v>
                </c:pt>
                <c:pt idx="273">
                  <c:v>406.5098735347824</c:v>
                </c:pt>
                <c:pt idx="274">
                  <c:v>406.5098735347824</c:v>
                </c:pt>
                <c:pt idx="275">
                  <c:v>406.5098735347824</c:v>
                </c:pt>
                <c:pt idx="276">
                  <c:v>409.30181963556885</c:v>
                </c:pt>
                <c:pt idx="277">
                  <c:v>409.30181963556885</c:v>
                </c:pt>
                <c:pt idx="278">
                  <c:v>409.30181963556885</c:v>
                </c:pt>
                <c:pt idx="279">
                  <c:v>409.30181963556885</c:v>
                </c:pt>
                <c:pt idx="280">
                  <c:v>409.30181963556885</c:v>
                </c:pt>
                <c:pt idx="281">
                  <c:v>409.30181963556885</c:v>
                </c:pt>
                <c:pt idx="282">
                  <c:v>409.30181963556885</c:v>
                </c:pt>
                <c:pt idx="283">
                  <c:v>409.30181963556885</c:v>
                </c:pt>
                <c:pt idx="284">
                  <c:v>409.30181963556885</c:v>
                </c:pt>
                <c:pt idx="285">
                  <c:v>409.30181963556885</c:v>
                </c:pt>
                <c:pt idx="286">
                  <c:v>409.30181963556885</c:v>
                </c:pt>
                <c:pt idx="287">
                  <c:v>409.30181963556885</c:v>
                </c:pt>
                <c:pt idx="288">
                  <c:v>412.11294107141413</c:v>
                </c:pt>
                <c:pt idx="289">
                  <c:v>412.11294107141413</c:v>
                </c:pt>
                <c:pt idx="290">
                  <c:v>412.11294107141413</c:v>
                </c:pt>
                <c:pt idx="291">
                  <c:v>412.11294107141413</c:v>
                </c:pt>
                <c:pt idx="292">
                  <c:v>412.11294107141413</c:v>
                </c:pt>
                <c:pt idx="293">
                  <c:v>412.11294107141413</c:v>
                </c:pt>
                <c:pt idx="294">
                  <c:v>412.11294107141413</c:v>
                </c:pt>
                <c:pt idx="295">
                  <c:v>412.11294107141413</c:v>
                </c:pt>
                <c:pt idx="296">
                  <c:v>412.11294107141413</c:v>
                </c:pt>
                <c:pt idx="297">
                  <c:v>412.11294107141413</c:v>
                </c:pt>
                <c:pt idx="298">
                  <c:v>412.11294107141413</c:v>
                </c:pt>
                <c:pt idx="299">
                  <c:v>412.11294107141413</c:v>
                </c:pt>
                <c:pt idx="300">
                  <c:v>414.94336954023106</c:v>
                </c:pt>
                <c:pt idx="301">
                  <c:v>414.94336954023106</c:v>
                </c:pt>
                <c:pt idx="302">
                  <c:v>414.94336954023106</c:v>
                </c:pt>
                <c:pt idx="303">
                  <c:v>414.94336954023106</c:v>
                </c:pt>
                <c:pt idx="304">
                  <c:v>414.94336954023106</c:v>
                </c:pt>
                <c:pt idx="305">
                  <c:v>414.94336954023106</c:v>
                </c:pt>
                <c:pt idx="306">
                  <c:v>414.94336954023106</c:v>
                </c:pt>
                <c:pt idx="307">
                  <c:v>414.94336954023106</c:v>
                </c:pt>
                <c:pt idx="308">
                  <c:v>414.94336954023106</c:v>
                </c:pt>
                <c:pt idx="309">
                  <c:v>414.94336954023106</c:v>
                </c:pt>
                <c:pt idx="310">
                  <c:v>414.94336954023106</c:v>
                </c:pt>
                <c:pt idx="311">
                  <c:v>414.94336954023106</c:v>
                </c:pt>
                <c:pt idx="312">
                  <c:v>417.79323764444558</c:v>
                </c:pt>
                <c:pt idx="313">
                  <c:v>417.79323764444558</c:v>
                </c:pt>
                <c:pt idx="314">
                  <c:v>417.79323764444558</c:v>
                </c:pt>
                <c:pt idx="315">
                  <c:v>417.79323764444558</c:v>
                </c:pt>
                <c:pt idx="316">
                  <c:v>417.79323764444558</c:v>
                </c:pt>
                <c:pt idx="317">
                  <c:v>417.79323764444558</c:v>
                </c:pt>
                <c:pt idx="318">
                  <c:v>417.79323764444558</c:v>
                </c:pt>
                <c:pt idx="319">
                  <c:v>417.79323764444558</c:v>
                </c:pt>
                <c:pt idx="320">
                  <c:v>417.79323764444558</c:v>
                </c:pt>
                <c:pt idx="321">
                  <c:v>417.79323764444558</c:v>
                </c:pt>
                <c:pt idx="322">
                  <c:v>417.79323764444558</c:v>
                </c:pt>
                <c:pt idx="323">
                  <c:v>417.79323764444558</c:v>
                </c:pt>
                <c:pt idx="324">
                  <c:v>420.66267889720916</c:v>
                </c:pt>
                <c:pt idx="325">
                  <c:v>420.66267889720916</c:v>
                </c:pt>
                <c:pt idx="326">
                  <c:v>420.66267889720916</c:v>
                </c:pt>
                <c:pt idx="327">
                  <c:v>420.66267889720916</c:v>
                </c:pt>
                <c:pt idx="328">
                  <c:v>420.66267889720916</c:v>
                </c:pt>
                <c:pt idx="329">
                  <c:v>420.66267889720916</c:v>
                </c:pt>
                <c:pt idx="330">
                  <c:v>420.66267889720916</c:v>
                </c:pt>
                <c:pt idx="331">
                  <c:v>420.66267889720916</c:v>
                </c:pt>
                <c:pt idx="332">
                  <c:v>420.66267889720916</c:v>
                </c:pt>
                <c:pt idx="333">
                  <c:v>420.66267889720916</c:v>
                </c:pt>
                <c:pt idx="334">
                  <c:v>420.66267889720916</c:v>
                </c:pt>
                <c:pt idx="335">
                  <c:v>420.66267889720916</c:v>
                </c:pt>
                <c:pt idx="336">
                  <c:v>423.55182772865322</c:v>
                </c:pt>
                <c:pt idx="337">
                  <c:v>423.55182772865322</c:v>
                </c:pt>
                <c:pt idx="338">
                  <c:v>423.55182772865322</c:v>
                </c:pt>
                <c:pt idx="339">
                  <c:v>423.55182772865322</c:v>
                </c:pt>
                <c:pt idx="340">
                  <c:v>423.55182772865322</c:v>
                </c:pt>
                <c:pt idx="341">
                  <c:v>423.55182772865322</c:v>
                </c:pt>
                <c:pt idx="342">
                  <c:v>423.55182772865322</c:v>
                </c:pt>
                <c:pt idx="343">
                  <c:v>423.55182772865322</c:v>
                </c:pt>
                <c:pt idx="344">
                  <c:v>423.55182772865322</c:v>
                </c:pt>
                <c:pt idx="345">
                  <c:v>423.55182772865322</c:v>
                </c:pt>
                <c:pt idx="346">
                  <c:v>423.55182772865322</c:v>
                </c:pt>
                <c:pt idx="347">
                  <c:v>423.55182772865322</c:v>
                </c:pt>
                <c:pt idx="348">
                  <c:v>426.46081949218745</c:v>
                </c:pt>
                <c:pt idx="349">
                  <c:v>426.46081949218745</c:v>
                </c:pt>
                <c:pt idx="350">
                  <c:v>426.46081949218745</c:v>
                </c:pt>
                <c:pt idx="351">
                  <c:v>426.46081949218745</c:v>
                </c:pt>
                <c:pt idx="352">
                  <c:v>426.46081949218745</c:v>
                </c:pt>
                <c:pt idx="353">
                  <c:v>426.46081949218745</c:v>
                </c:pt>
                <c:pt idx="354">
                  <c:v>426.46081949218745</c:v>
                </c:pt>
                <c:pt idx="355">
                  <c:v>426.46081949218745</c:v>
                </c:pt>
                <c:pt idx="356">
                  <c:v>426.46081949218745</c:v>
                </c:pt>
                <c:pt idx="357">
                  <c:v>426.46081949218745</c:v>
                </c:pt>
                <c:pt idx="358">
                  <c:v>426.46081949218745</c:v>
                </c:pt>
                <c:pt idx="359">
                  <c:v>426.46081949218745</c:v>
                </c:pt>
                <c:pt idx="360">
                  <c:v>429.38979047084086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1B-43BB-9AB6-DFA82E37EED0}"/>
            </c:ext>
          </c:extLst>
        </c:ser>
        <c:ser>
          <c:idx val="3"/>
          <c:order val="3"/>
          <c:tx>
            <c:strRef>
              <c:f>'Flujos Mensuales'!$K$13</c:f>
              <c:strCache>
                <c:ptCount val="1"/>
                <c:pt idx="0">
                  <c:v>Seguro
Mensual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Mensuales'!$K$14:$K$374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247.17192499999999</c:v>
                </c:pt>
                <c:pt idx="2">
                  <c:v>247.17192499999999</c:v>
                </c:pt>
                <c:pt idx="3">
                  <c:v>247.17192499999999</c:v>
                </c:pt>
                <c:pt idx="4">
                  <c:v>247.17192499999999</c:v>
                </c:pt>
                <c:pt idx="5">
                  <c:v>247.17192499999999</c:v>
                </c:pt>
                <c:pt idx="6">
                  <c:v>247.17192499999999</c:v>
                </c:pt>
                <c:pt idx="7">
                  <c:v>247.17192499999999</c:v>
                </c:pt>
                <c:pt idx="8">
                  <c:v>247.17192499999999</c:v>
                </c:pt>
                <c:pt idx="9">
                  <c:v>247.17192499999999</c:v>
                </c:pt>
                <c:pt idx="10">
                  <c:v>247.17192499999999</c:v>
                </c:pt>
                <c:pt idx="11">
                  <c:v>247.17192499999999</c:v>
                </c:pt>
                <c:pt idx="12">
                  <c:v>247.17192499999999</c:v>
                </c:pt>
                <c:pt idx="13">
                  <c:v>247.17192499999999</c:v>
                </c:pt>
                <c:pt idx="14">
                  <c:v>247.17192499999999</c:v>
                </c:pt>
                <c:pt idx="15">
                  <c:v>247.17192499999999</c:v>
                </c:pt>
                <c:pt idx="16">
                  <c:v>247.17192499999999</c:v>
                </c:pt>
                <c:pt idx="17">
                  <c:v>247.17192499999999</c:v>
                </c:pt>
                <c:pt idx="18">
                  <c:v>247.17192499999999</c:v>
                </c:pt>
                <c:pt idx="19">
                  <c:v>247.17192499999999</c:v>
                </c:pt>
                <c:pt idx="20">
                  <c:v>247.17192499999999</c:v>
                </c:pt>
                <c:pt idx="21">
                  <c:v>247.17192499999999</c:v>
                </c:pt>
                <c:pt idx="22">
                  <c:v>247.17192499999999</c:v>
                </c:pt>
                <c:pt idx="23">
                  <c:v>247.17192499999999</c:v>
                </c:pt>
                <c:pt idx="24">
                  <c:v>247.17192499999999</c:v>
                </c:pt>
                <c:pt idx="25">
                  <c:v>247.17192499999999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1B-43BB-9AB6-DFA82E37EED0}"/>
            </c:ext>
          </c:extLst>
        </c:ser>
        <c:ser>
          <c:idx val="4"/>
          <c:order val="4"/>
          <c:tx>
            <c:strRef>
              <c:f>'Flujos Mensuales'!$O$13</c:f>
              <c:strCache>
                <c:ptCount val="1"/>
                <c:pt idx="0">
                  <c:v>Mantenimiento
Mayor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Mensuales'!$O$14:$O$374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217.76179069805394</c:v>
                </c:pt>
                <c:pt idx="13">
                  <c:v>217.76179069805394</c:v>
                </c:pt>
                <c:pt idx="14">
                  <c:v>217.76179069805394</c:v>
                </c:pt>
                <c:pt idx="15">
                  <c:v>217.76179069805394</c:v>
                </c:pt>
                <c:pt idx="16">
                  <c:v>217.76179069805394</c:v>
                </c:pt>
                <c:pt idx="17">
                  <c:v>217.76179069805394</c:v>
                </c:pt>
                <c:pt idx="18">
                  <c:v>217.76179069805394</c:v>
                </c:pt>
                <c:pt idx="19">
                  <c:v>217.76179069805394</c:v>
                </c:pt>
                <c:pt idx="20">
                  <c:v>217.76179069805394</c:v>
                </c:pt>
                <c:pt idx="21">
                  <c:v>217.76179069805394</c:v>
                </c:pt>
                <c:pt idx="22">
                  <c:v>217.76179069805394</c:v>
                </c:pt>
                <c:pt idx="23">
                  <c:v>217.76179069805394</c:v>
                </c:pt>
                <c:pt idx="24">
                  <c:v>227.70803115497259</c:v>
                </c:pt>
                <c:pt idx="25">
                  <c:v>227.70803115497259</c:v>
                </c:pt>
                <c:pt idx="26">
                  <c:v>227.70803115497259</c:v>
                </c:pt>
                <c:pt idx="27">
                  <c:v>227.70803115497259</c:v>
                </c:pt>
                <c:pt idx="28">
                  <c:v>227.70803115497259</c:v>
                </c:pt>
                <c:pt idx="29">
                  <c:v>227.70803115497259</c:v>
                </c:pt>
                <c:pt idx="30">
                  <c:v>227.70803115497259</c:v>
                </c:pt>
                <c:pt idx="31">
                  <c:v>227.70803115497259</c:v>
                </c:pt>
                <c:pt idx="32">
                  <c:v>227.70803115497259</c:v>
                </c:pt>
                <c:pt idx="33">
                  <c:v>227.70803115497259</c:v>
                </c:pt>
                <c:pt idx="34">
                  <c:v>227.70803115497259</c:v>
                </c:pt>
                <c:pt idx="35">
                  <c:v>227.70803115497259</c:v>
                </c:pt>
                <c:pt idx="36">
                  <c:v>238.10856480497043</c:v>
                </c:pt>
                <c:pt idx="37">
                  <c:v>238.10856480497043</c:v>
                </c:pt>
                <c:pt idx="38">
                  <c:v>238.10856480497043</c:v>
                </c:pt>
                <c:pt idx="39">
                  <c:v>238.10856480497043</c:v>
                </c:pt>
                <c:pt idx="40">
                  <c:v>238.10856480497043</c:v>
                </c:pt>
                <c:pt idx="41">
                  <c:v>238.10856480497043</c:v>
                </c:pt>
                <c:pt idx="42">
                  <c:v>238.10856480497043</c:v>
                </c:pt>
                <c:pt idx="43">
                  <c:v>238.10856480497043</c:v>
                </c:pt>
                <c:pt idx="44">
                  <c:v>238.10856480497043</c:v>
                </c:pt>
                <c:pt idx="45">
                  <c:v>238.10856480497043</c:v>
                </c:pt>
                <c:pt idx="46">
                  <c:v>238.10856480497043</c:v>
                </c:pt>
                <c:pt idx="47">
                  <c:v>238.10856480497043</c:v>
                </c:pt>
                <c:pt idx="48">
                  <c:v>248.98414142844646</c:v>
                </c:pt>
                <c:pt idx="49">
                  <c:v>248.98414142844646</c:v>
                </c:pt>
                <c:pt idx="50">
                  <c:v>248.98414142844646</c:v>
                </c:pt>
                <c:pt idx="51">
                  <c:v>248.98414142844646</c:v>
                </c:pt>
                <c:pt idx="52">
                  <c:v>248.98414142844646</c:v>
                </c:pt>
                <c:pt idx="53">
                  <c:v>248.98414142844646</c:v>
                </c:pt>
                <c:pt idx="54">
                  <c:v>248.98414142844646</c:v>
                </c:pt>
                <c:pt idx="55">
                  <c:v>248.98414142844646</c:v>
                </c:pt>
                <c:pt idx="56">
                  <c:v>248.98414142844646</c:v>
                </c:pt>
                <c:pt idx="57">
                  <c:v>248.98414142844646</c:v>
                </c:pt>
                <c:pt idx="58">
                  <c:v>248.98414142844646</c:v>
                </c:pt>
                <c:pt idx="59">
                  <c:v>248.98414142844646</c:v>
                </c:pt>
                <c:pt idx="60">
                  <c:v>260.35645854922456</c:v>
                </c:pt>
                <c:pt idx="61">
                  <c:v>260.35645854922456</c:v>
                </c:pt>
                <c:pt idx="62">
                  <c:v>260.35645854922456</c:v>
                </c:pt>
                <c:pt idx="63">
                  <c:v>260.35645854922456</c:v>
                </c:pt>
                <c:pt idx="64">
                  <c:v>260.35645854922456</c:v>
                </c:pt>
                <c:pt idx="65">
                  <c:v>260.35645854922456</c:v>
                </c:pt>
                <c:pt idx="66">
                  <c:v>260.35645854922456</c:v>
                </c:pt>
                <c:pt idx="67">
                  <c:v>260.35645854922456</c:v>
                </c:pt>
                <c:pt idx="68">
                  <c:v>260.35645854922456</c:v>
                </c:pt>
                <c:pt idx="69">
                  <c:v>260.35645854922456</c:v>
                </c:pt>
                <c:pt idx="70">
                  <c:v>260.35645854922456</c:v>
                </c:pt>
                <c:pt idx="71">
                  <c:v>260.35645854922456</c:v>
                </c:pt>
                <c:pt idx="72">
                  <c:v>272.24820472260654</c:v>
                </c:pt>
                <c:pt idx="73">
                  <c:v>272.24820472260654</c:v>
                </c:pt>
                <c:pt idx="74">
                  <c:v>272.24820472260654</c:v>
                </c:pt>
                <c:pt idx="75">
                  <c:v>272.24820472260654</c:v>
                </c:pt>
                <c:pt idx="76">
                  <c:v>272.24820472260654</c:v>
                </c:pt>
                <c:pt idx="77">
                  <c:v>272.24820472260654</c:v>
                </c:pt>
                <c:pt idx="78">
                  <c:v>272.24820472260654</c:v>
                </c:pt>
                <c:pt idx="79">
                  <c:v>272.24820472260654</c:v>
                </c:pt>
                <c:pt idx="80">
                  <c:v>272.24820472260654</c:v>
                </c:pt>
                <c:pt idx="81">
                  <c:v>272.24820472260654</c:v>
                </c:pt>
                <c:pt idx="82">
                  <c:v>272.24820472260654</c:v>
                </c:pt>
                <c:pt idx="83">
                  <c:v>272.24820472260654</c:v>
                </c:pt>
                <c:pt idx="84">
                  <c:v>284.68310480060103</c:v>
                </c:pt>
                <c:pt idx="85">
                  <c:v>284.68310480060103</c:v>
                </c:pt>
                <c:pt idx="86">
                  <c:v>284.68310480060103</c:v>
                </c:pt>
                <c:pt idx="87">
                  <c:v>284.68310480060103</c:v>
                </c:pt>
                <c:pt idx="88">
                  <c:v>284.68310480060103</c:v>
                </c:pt>
                <c:pt idx="89">
                  <c:v>284.68310480060103</c:v>
                </c:pt>
                <c:pt idx="90">
                  <c:v>284.68310480060103</c:v>
                </c:pt>
                <c:pt idx="91">
                  <c:v>284.68310480060103</c:v>
                </c:pt>
                <c:pt idx="92">
                  <c:v>284.68310480060103</c:v>
                </c:pt>
                <c:pt idx="93">
                  <c:v>284.68310480060103</c:v>
                </c:pt>
                <c:pt idx="94">
                  <c:v>284.68310480060103</c:v>
                </c:pt>
                <c:pt idx="95">
                  <c:v>284.68310480060103</c:v>
                </c:pt>
                <c:pt idx="96">
                  <c:v>297.68596726463699</c:v>
                </c:pt>
                <c:pt idx="97">
                  <c:v>297.68596726463699</c:v>
                </c:pt>
                <c:pt idx="98">
                  <c:v>297.68596726463699</c:v>
                </c:pt>
                <c:pt idx="99">
                  <c:v>297.68596726463699</c:v>
                </c:pt>
                <c:pt idx="100">
                  <c:v>297.68596726463699</c:v>
                </c:pt>
                <c:pt idx="101">
                  <c:v>297.68596726463699</c:v>
                </c:pt>
                <c:pt idx="102">
                  <c:v>297.68596726463699</c:v>
                </c:pt>
                <c:pt idx="103">
                  <c:v>297.68596726463699</c:v>
                </c:pt>
                <c:pt idx="104">
                  <c:v>297.68596726463699</c:v>
                </c:pt>
                <c:pt idx="105">
                  <c:v>297.68596726463699</c:v>
                </c:pt>
                <c:pt idx="106">
                  <c:v>297.68596726463699</c:v>
                </c:pt>
                <c:pt idx="107">
                  <c:v>297.68596726463699</c:v>
                </c:pt>
                <c:pt idx="108">
                  <c:v>311.28273372019015</c:v>
                </c:pt>
                <c:pt idx="109">
                  <c:v>311.28273372019015</c:v>
                </c:pt>
                <c:pt idx="110">
                  <c:v>311.28273372019015</c:v>
                </c:pt>
                <c:pt idx="111">
                  <c:v>311.28273372019015</c:v>
                </c:pt>
                <c:pt idx="112">
                  <c:v>311.28273372019015</c:v>
                </c:pt>
                <c:pt idx="113">
                  <c:v>311.28273372019015</c:v>
                </c:pt>
                <c:pt idx="114">
                  <c:v>311.28273372019015</c:v>
                </c:pt>
                <c:pt idx="115">
                  <c:v>311.28273372019015</c:v>
                </c:pt>
                <c:pt idx="116">
                  <c:v>311.28273372019015</c:v>
                </c:pt>
                <c:pt idx="117">
                  <c:v>311.28273372019015</c:v>
                </c:pt>
                <c:pt idx="118">
                  <c:v>311.28273372019015</c:v>
                </c:pt>
                <c:pt idx="119">
                  <c:v>311.28273372019015</c:v>
                </c:pt>
                <c:pt idx="120">
                  <c:v>325.50053065207254</c:v>
                </c:pt>
                <c:pt idx="121">
                  <c:v>325.50053065207254</c:v>
                </c:pt>
                <c:pt idx="122">
                  <c:v>325.50053065207254</c:v>
                </c:pt>
                <c:pt idx="123">
                  <c:v>325.50053065207254</c:v>
                </c:pt>
                <c:pt idx="124">
                  <c:v>325.50053065207254</c:v>
                </c:pt>
                <c:pt idx="125">
                  <c:v>325.50053065207254</c:v>
                </c:pt>
                <c:pt idx="126">
                  <c:v>325.50053065207254</c:v>
                </c:pt>
                <c:pt idx="127">
                  <c:v>325.50053065207254</c:v>
                </c:pt>
                <c:pt idx="128">
                  <c:v>325.50053065207254</c:v>
                </c:pt>
                <c:pt idx="129">
                  <c:v>325.50053065207254</c:v>
                </c:pt>
                <c:pt idx="130">
                  <c:v>325.50053065207254</c:v>
                </c:pt>
                <c:pt idx="131">
                  <c:v>325.50053065207254</c:v>
                </c:pt>
                <c:pt idx="132">
                  <c:v>340.36772354363552</c:v>
                </c:pt>
                <c:pt idx="133">
                  <c:v>340.36772354363552</c:v>
                </c:pt>
                <c:pt idx="134">
                  <c:v>340.36772354363552</c:v>
                </c:pt>
                <c:pt idx="135">
                  <c:v>340.36772354363552</c:v>
                </c:pt>
                <c:pt idx="136">
                  <c:v>340.36772354363552</c:v>
                </c:pt>
                <c:pt idx="137">
                  <c:v>340.36772354363552</c:v>
                </c:pt>
                <c:pt idx="138">
                  <c:v>340.36772354363552</c:v>
                </c:pt>
                <c:pt idx="139">
                  <c:v>340.36772354363552</c:v>
                </c:pt>
                <c:pt idx="140">
                  <c:v>340.36772354363552</c:v>
                </c:pt>
                <c:pt idx="141">
                  <c:v>340.36772354363552</c:v>
                </c:pt>
                <c:pt idx="142">
                  <c:v>340.36772354363552</c:v>
                </c:pt>
                <c:pt idx="143">
                  <c:v>340.36772354363552</c:v>
                </c:pt>
                <c:pt idx="144">
                  <c:v>355.91397346786198</c:v>
                </c:pt>
                <c:pt idx="145">
                  <c:v>355.91397346786198</c:v>
                </c:pt>
                <c:pt idx="146">
                  <c:v>355.91397346786198</c:v>
                </c:pt>
                <c:pt idx="147">
                  <c:v>355.91397346786198</c:v>
                </c:pt>
                <c:pt idx="148">
                  <c:v>355.91397346786198</c:v>
                </c:pt>
                <c:pt idx="149">
                  <c:v>355.91397346786198</c:v>
                </c:pt>
                <c:pt idx="150">
                  <c:v>355.91397346786198</c:v>
                </c:pt>
                <c:pt idx="151">
                  <c:v>355.91397346786198</c:v>
                </c:pt>
                <c:pt idx="152">
                  <c:v>355.91397346786198</c:v>
                </c:pt>
                <c:pt idx="153">
                  <c:v>355.91397346786198</c:v>
                </c:pt>
                <c:pt idx="154">
                  <c:v>355.91397346786198</c:v>
                </c:pt>
                <c:pt idx="155">
                  <c:v>355.91397346786198</c:v>
                </c:pt>
                <c:pt idx="156">
                  <c:v>372.17029626324739</c:v>
                </c:pt>
                <c:pt idx="157">
                  <c:v>372.17029626324739</c:v>
                </c:pt>
                <c:pt idx="158">
                  <c:v>372.17029626324739</c:v>
                </c:pt>
                <c:pt idx="159">
                  <c:v>372.17029626324739</c:v>
                </c:pt>
                <c:pt idx="160">
                  <c:v>372.17029626324739</c:v>
                </c:pt>
                <c:pt idx="161">
                  <c:v>372.17029626324739</c:v>
                </c:pt>
                <c:pt idx="162">
                  <c:v>372.17029626324739</c:v>
                </c:pt>
                <c:pt idx="163">
                  <c:v>372.17029626324739</c:v>
                </c:pt>
                <c:pt idx="164">
                  <c:v>372.17029626324739</c:v>
                </c:pt>
                <c:pt idx="165">
                  <c:v>372.17029626324739</c:v>
                </c:pt>
                <c:pt idx="166">
                  <c:v>372.17029626324739</c:v>
                </c:pt>
                <c:pt idx="167">
                  <c:v>372.17029626324739</c:v>
                </c:pt>
                <c:pt idx="168">
                  <c:v>389.16912441253311</c:v>
                </c:pt>
                <c:pt idx="169">
                  <c:v>389.16912441253311</c:v>
                </c:pt>
                <c:pt idx="170">
                  <c:v>389.16912441253311</c:v>
                </c:pt>
                <c:pt idx="171">
                  <c:v>389.16912441253311</c:v>
                </c:pt>
                <c:pt idx="172">
                  <c:v>389.16912441253311</c:v>
                </c:pt>
                <c:pt idx="173">
                  <c:v>389.16912441253311</c:v>
                </c:pt>
                <c:pt idx="174">
                  <c:v>389.16912441253311</c:v>
                </c:pt>
                <c:pt idx="175">
                  <c:v>389.16912441253311</c:v>
                </c:pt>
                <c:pt idx="176">
                  <c:v>389.16912441253311</c:v>
                </c:pt>
                <c:pt idx="177">
                  <c:v>389.16912441253311</c:v>
                </c:pt>
                <c:pt idx="178">
                  <c:v>389.16912441253311</c:v>
                </c:pt>
                <c:pt idx="179">
                  <c:v>389.16912441253311</c:v>
                </c:pt>
                <c:pt idx="180">
                  <c:v>406.94437174774038</c:v>
                </c:pt>
                <c:pt idx="181">
                  <c:v>406.94437174774038</c:v>
                </c:pt>
                <c:pt idx="182">
                  <c:v>406.94437174774038</c:v>
                </c:pt>
                <c:pt idx="183">
                  <c:v>406.94437174774038</c:v>
                </c:pt>
                <c:pt idx="184">
                  <c:v>406.94437174774038</c:v>
                </c:pt>
                <c:pt idx="185">
                  <c:v>406.94437174774038</c:v>
                </c:pt>
                <c:pt idx="186">
                  <c:v>406.94437174774038</c:v>
                </c:pt>
                <c:pt idx="187">
                  <c:v>406.94437174774038</c:v>
                </c:pt>
                <c:pt idx="188">
                  <c:v>406.94437174774038</c:v>
                </c:pt>
                <c:pt idx="189">
                  <c:v>406.94437174774038</c:v>
                </c:pt>
                <c:pt idx="190">
                  <c:v>406.94437174774038</c:v>
                </c:pt>
                <c:pt idx="191">
                  <c:v>406.94437174774038</c:v>
                </c:pt>
                <c:pt idx="192">
                  <c:v>425.53150111060017</c:v>
                </c:pt>
                <c:pt idx="193">
                  <c:v>425.53150111060017</c:v>
                </c:pt>
                <c:pt idx="194">
                  <c:v>425.53150111060017</c:v>
                </c:pt>
                <c:pt idx="195">
                  <c:v>425.53150111060017</c:v>
                </c:pt>
                <c:pt idx="196">
                  <c:v>425.53150111060017</c:v>
                </c:pt>
                <c:pt idx="197">
                  <c:v>425.53150111060017</c:v>
                </c:pt>
                <c:pt idx="198">
                  <c:v>425.53150111060017</c:v>
                </c:pt>
                <c:pt idx="199">
                  <c:v>425.53150111060017</c:v>
                </c:pt>
                <c:pt idx="200">
                  <c:v>425.53150111060017</c:v>
                </c:pt>
                <c:pt idx="201">
                  <c:v>425.53150111060017</c:v>
                </c:pt>
                <c:pt idx="202">
                  <c:v>425.53150111060017</c:v>
                </c:pt>
                <c:pt idx="203">
                  <c:v>425.53150111060017</c:v>
                </c:pt>
                <c:pt idx="204">
                  <c:v>444.96759510336238</c:v>
                </c:pt>
                <c:pt idx="205">
                  <c:v>444.96759510336238</c:v>
                </c:pt>
                <c:pt idx="206">
                  <c:v>444.96759510336238</c:v>
                </c:pt>
                <c:pt idx="207">
                  <c:v>444.96759510336238</c:v>
                </c:pt>
                <c:pt idx="208">
                  <c:v>444.96759510336238</c:v>
                </c:pt>
                <c:pt idx="209">
                  <c:v>444.96759510336238</c:v>
                </c:pt>
                <c:pt idx="210">
                  <c:v>444.96759510336238</c:v>
                </c:pt>
                <c:pt idx="211">
                  <c:v>444.96759510336238</c:v>
                </c:pt>
                <c:pt idx="212">
                  <c:v>444.96759510336238</c:v>
                </c:pt>
                <c:pt idx="213">
                  <c:v>444.96759510336238</c:v>
                </c:pt>
                <c:pt idx="214">
                  <c:v>444.96759510336238</c:v>
                </c:pt>
                <c:pt idx="215">
                  <c:v>444.96759510336238</c:v>
                </c:pt>
                <c:pt idx="216">
                  <c:v>465.29143007113959</c:v>
                </c:pt>
                <c:pt idx="217">
                  <c:v>465.29143007113959</c:v>
                </c:pt>
                <c:pt idx="218">
                  <c:v>465.29143007113959</c:v>
                </c:pt>
                <c:pt idx="219">
                  <c:v>465.29143007113959</c:v>
                </c:pt>
                <c:pt idx="220">
                  <c:v>465.29143007113959</c:v>
                </c:pt>
                <c:pt idx="221">
                  <c:v>465.29143007113959</c:v>
                </c:pt>
                <c:pt idx="222">
                  <c:v>465.29143007113959</c:v>
                </c:pt>
                <c:pt idx="223">
                  <c:v>465.29143007113959</c:v>
                </c:pt>
                <c:pt idx="224">
                  <c:v>465.29143007113959</c:v>
                </c:pt>
                <c:pt idx="225">
                  <c:v>465.29143007113959</c:v>
                </c:pt>
                <c:pt idx="226">
                  <c:v>465.29143007113959</c:v>
                </c:pt>
                <c:pt idx="227">
                  <c:v>465.29143007113959</c:v>
                </c:pt>
                <c:pt idx="228">
                  <c:v>486.54355346338389</c:v>
                </c:pt>
                <c:pt idx="229">
                  <c:v>486.54355346338389</c:v>
                </c:pt>
                <c:pt idx="230">
                  <c:v>486.54355346338389</c:v>
                </c:pt>
                <c:pt idx="231">
                  <c:v>486.54355346338389</c:v>
                </c:pt>
                <c:pt idx="232">
                  <c:v>486.54355346338389</c:v>
                </c:pt>
                <c:pt idx="233">
                  <c:v>486.54355346338389</c:v>
                </c:pt>
                <c:pt idx="234">
                  <c:v>486.54355346338389</c:v>
                </c:pt>
                <c:pt idx="235">
                  <c:v>486.54355346338389</c:v>
                </c:pt>
                <c:pt idx="236">
                  <c:v>486.54355346338389</c:v>
                </c:pt>
                <c:pt idx="237">
                  <c:v>486.54355346338389</c:v>
                </c:pt>
                <c:pt idx="238">
                  <c:v>486.54355346338389</c:v>
                </c:pt>
                <c:pt idx="239">
                  <c:v>486.54355346338389</c:v>
                </c:pt>
                <c:pt idx="240">
                  <c:v>508.76636472883933</c:v>
                </c:pt>
                <c:pt idx="241">
                  <c:v>508.76636472883933</c:v>
                </c:pt>
                <c:pt idx="242">
                  <c:v>508.76636472883933</c:v>
                </c:pt>
                <c:pt idx="243">
                  <c:v>508.76636472883933</c:v>
                </c:pt>
                <c:pt idx="244">
                  <c:v>508.76636472883933</c:v>
                </c:pt>
                <c:pt idx="245">
                  <c:v>508.76636472883933</c:v>
                </c:pt>
                <c:pt idx="246">
                  <c:v>508.76636472883933</c:v>
                </c:pt>
                <c:pt idx="247">
                  <c:v>508.76636472883933</c:v>
                </c:pt>
                <c:pt idx="248">
                  <c:v>508.76636472883933</c:v>
                </c:pt>
                <c:pt idx="249">
                  <c:v>508.76636472883933</c:v>
                </c:pt>
                <c:pt idx="250">
                  <c:v>508.76636472883933</c:v>
                </c:pt>
                <c:pt idx="251">
                  <c:v>508.76636472883933</c:v>
                </c:pt>
                <c:pt idx="252">
                  <c:v>532.00419990536034</c:v>
                </c:pt>
                <c:pt idx="253">
                  <c:v>532.00419990536034</c:v>
                </c:pt>
                <c:pt idx="254">
                  <c:v>532.00419990536034</c:v>
                </c:pt>
                <c:pt idx="255">
                  <c:v>532.00419990536034</c:v>
                </c:pt>
                <c:pt idx="256">
                  <c:v>532.00419990536034</c:v>
                </c:pt>
                <c:pt idx="257">
                  <c:v>532.00419990536034</c:v>
                </c:pt>
                <c:pt idx="258">
                  <c:v>532.00419990536034</c:v>
                </c:pt>
                <c:pt idx="259">
                  <c:v>532.00419990536034</c:v>
                </c:pt>
                <c:pt idx="260">
                  <c:v>532.00419990536034</c:v>
                </c:pt>
                <c:pt idx="261">
                  <c:v>532.00419990536034</c:v>
                </c:pt>
                <c:pt idx="262">
                  <c:v>532.00419990536034</c:v>
                </c:pt>
                <c:pt idx="263">
                  <c:v>532.00419990536034</c:v>
                </c:pt>
                <c:pt idx="264">
                  <c:v>556.30342007335764</c:v>
                </c:pt>
                <c:pt idx="265">
                  <c:v>556.30342007335764</c:v>
                </c:pt>
                <c:pt idx="266">
                  <c:v>556.30342007335764</c:v>
                </c:pt>
                <c:pt idx="267">
                  <c:v>556.30342007335764</c:v>
                </c:pt>
                <c:pt idx="268">
                  <c:v>556.30342007335764</c:v>
                </c:pt>
                <c:pt idx="269">
                  <c:v>556.30342007335764</c:v>
                </c:pt>
                <c:pt idx="270">
                  <c:v>556.30342007335764</c:v>
                </c:pt>
                <c:pt idx="271">
                  <c:v>556.30342007335764</c:v>
                </c:pt>
                <c:pt idx="272">
                  <c:v>556.30342007335764</c:v>
                </c:pt>
                <c:pt idx="273">
                  <c:v>556.30342007335764</c:v>
                </c:pt>
                <c:pt idx="274">
                  <c:v>556.30342007335764</c:v>
                </c:pt>
                <c:pt idx="275">
                  <c:v>556.30342007335764</c:v>
                </c:pt>
                <c:pt idx="276">
                  <c:v>581.71250384934478</c:v>
                </c:pt>
                <c:pt idx="277">
                  <c:v>581.71250384934478</c:v>
                </c:pt>
                <c:pt idx="278">
                  <c:v>581.71250384934478</c:v>
                </c:pt>
                <c:pt idx="279">
                  <c:v>581.71250384934478</c:v>
                </c:pt>
                <c:pt idx="280">
                  <c:v>581.71250384934478</c:v>
                </c:pt>
                <c:pt idx="281">
                  <c:v>581.71250384934478</c:v>
                </c:pt>
                <c:pt idx="282">
                  <c:v>581.71250384934478</c:v>
                </c:pt>
                <c:pt idx="283">
                  <c:v>581.71250384934478</c:v>
                </c:pt>
                <c:pt idx="284">
                  <c:v>581.71250384934478</c:v>
                </c:pt>
                <c:pt idx="285">
                  <c:v>581.71250384934478</c:v>
                </c:pt>
                <c:pt idx="286">
                  <c:v>581.71250384934478</c:v>
                </c:pt>
                <c:pt idx="287">
                  <c:v>581.71250384934478</c:v>
                </c:pt>
                <c:pt idx="288">
                  <c:v>608.28214410411499</c:v>
                </c:pt>
                <c:pt idx="289">
                  <c:v>608.28214410411499</c:v>
                </c:pt>
                <c:pt idx="290">
                  <c:v>608.28214410411499</c:v>
                </c:pt>
                <c:pt idx="291">
                  <c:v>608.28214410411499</c:v>
                </c:pt>
                <c:pt idx="292">
                  <c:v>608.28214410411499</c:v>
                </c:pt>
                <c:pt idx="293">
                  <c:v>608.28214410411499</c:v>
                </c:pt>
                <c:pt idx="294">
                  <c:v>608.28214410411499</c:v>
                </c:pt>
                <c:pt idx="295">
                  <c:v>608.28214410411499</c:v>
                </c:pt>
                <c:pt idx="296">
                  <c:v>608.28214410411499</c:v>
                </c:pt>
                <c:pt idx="297">
                  <c:v>608.28214410411499</c:v>
                </c:pt>
                <c:pt idx="298">
                  <c:v>608.28214410411499</c:v>
                </c:pt>
                <c:pt idx="299">
                  <c:v>608.28214410411499</c:v>
                </c:pt>
                <c:pt idx="300">
                  <c:v>636.06534909850541</c:v>
                </c:pt>
                <c:pt idx="301">
                  <c:v>636.06534909850541</c:v>
                </c:pt>
                <c:pt idx="302">
                  <c:v>636.06534909850541</c:v>
                </c:pt>
                <c:pt idx="303">
                  <c:v>636.06534909850541</c:v>
                </c:pt>
                <c:pt idx="304">
                  <c:v>636.06534909850541</c:v>
                </c:pt>
                <c:pt idx="305">
                  <c:v>636.06534909850541</c:v>
                </c:pt>
                <c:pt idx="306">
                  <c:v>636.06534909850541</c:v>
                </c:pt>
                <c:pt idx="307">
                  <c:v>636.06534909850541</c:v>
                </c:pt>
                <c:pt idx="308">
                  <c:v>636.06534909850541</c:v>
                </c:pt>
                <c:pt idx="309">
                  <c:v>636.06534909850541</c:v>
                </c:pt>
                <c:pt idx="310">
                  <c:v>636.06534909850541</c:v>
                </c:pt>
                <c:pt idx="311">
                  <c:v>636.06534909850541</c:v>
                </c:pt>
                <c:pt idx="312">
                  <c:v>665.11754823852755</c:v>
                </c:pt>
                <c:pt idx="313">
                  <c:v>665.11754823852755</c:v>
                </c:pt>
                <c:pt idx="314">
                  <c:v>665.11754823852755</c:v>
                </c:pt>
                <c:pt idx="315">
                  <c:v>665.11754823852755</c:v>
                </c:pt>
                <c:pt idx="316">
                  <c:v>665.11754823852755</c:v>
                </c:pt>
                <c:pt idx="317">
                  <c:v>665.11754823852755</c:v>
                </c:pt>
                <c:pt idx="318">
                  <c:v>665.11754823852755</c:v>
                </c:pt>
                <c:pt idx="319">
                  <c:v>665.11754823852755</c:v>
                </c:pt>
                <c:pt idx="320">
                  <c:v>665.11754823852755</c:v>
                </c:pt>
                <c:pt idx="321">
                  <c:v>665.11754823852755</c:v>
                </c:pt>
                <c:pt idx="322">
                  <c:v>665.11754823852755</c:v>
                </c:pt>
                <c:pt idx="323">
                  <c:v>665.11754823852755</c:v>
                </c:pt>
                <c:pt idx="324">
                  <c:v>695.49670266084513</c:v>
                </c:pt>
                <c:pt idx="325">
                  <c:v>695.49670266084513</c:v>
                </c:pt>
                <c:pt idx="326">
                  <c:v>695.49670266084513</c:v>
                </c:pt>
                <c:pt idx="327">
                  <c:v>695.49670266084513</c:v>
                </c:pt>
                <c:pt idx="328">
                  <c:v>695.49670266084513</c:v>
                </c:pt>
                <c:pt idx="329">
                  <c:v>695.49670266084513</c:v>
                </c:pt>
                <c:pt idx="330">
                  <c:v>695.49670266084513</c:v>
                </c:pt>
                <c:pt idx="331">
                  <c:v>695.49670266084513</c:v>
                </c:pt>
                <c:pt idx="332">
                  <c:v>695.49670266084513</c:v>
                </c:pt>
                <c:pt idx="333">
                  <c:v>695.49670266084513</c:v>
                </c:pt>
                <c:pt idx="334">
                  <c:v>695.49670266084513</c:v>
                </c:pt>
                <c:pt idx="335">
                  <c:v>695.49670266084513</c:v>
                </c:pt>
                <c:pt idx="336">
                  <c:v>727.26342086923239</c:v>
                </c:pt>
                <c:pt idx="337">
                  <c:v>727.26342086923239</c:v>
                </c:pt>
                <c:pt idx="338">
                  <c:v>727.26342086923239</c:v>
                </c:pt>
                <c:pt idx="339">
                  <c:v>727.26342086923239</c:v>
                </c:pt>
                <c:pt idx="340">
                  <c:v>727.26342086923239</c:v>
                </c:pt>
                <c:pt idx="341">
                  <c:v>727.26342086923239</c:v>
                </c:pt>
                <c:pt idx="342">
                  <c:v>727.26342086923239</c:v>
                </c:pt>
                <c:pt idx="343">
                  <c:v>727.26342086923239</c:v>
                </c:pt>
                <c:pt idx="344">
                  <c:v>727.26342086923239</c:v>
                </c:pt>
                <c:pt idx="345">
                  <c:v>727.26342086923239</c:v>
                </c:pt>
                <c:pt idx="346">
                  <c:v>727.26342086923239</c:v>
                </c:pt>
                <c:pt idx="347">
                  <c:v>727.26342086923239</c:v>
                </c:pt>
                <c:pt idx="348">
                  <c:v>760.4810796527081</c:v>
                </c:pt>
                <c:pt idx="349">
                  <c:v>760.4810796527081</c:v>
                </c:pt>
                <c:pt idx="350">
                  <c:v>760.4810796527081</c:v>
                </c:pt>
                <c:pt idx="351">
                  <c:v>760.4810796527081</c:v>
                </c:pt>
                <c:pt idx="352">
                  <c:v>760.4810796527081</c:v>
                </c:pt>
                <c:pt idx="353">
                  <c:v>760.4810796527081</c:v>
                </c:pt>
                <c:pt idx="354">
                  <c:v>760.4810796527081</c:v>
                </c:pt>
                <c:pt idx="355">
                  <c:v>760.4810796527081</c:v>
                </c:pt>
                <c:pt idx="356">
                  <c:v>760.4810796527081</c:v>
                </c:pt>
                <c:pt idx="357">
                  <c:v>760.4810796527081</c:v>
                </c:pt>
                <c:pt idx="358">
                  <c:v>760.4810796527081</c:v>
                </c:pt>
                <c:pt idx="359">
                  <c:v>760.4810796527081</c:v>
                </c:pt>
                <c:pt idx="360">
                  <c:v>795.21595052659359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1B-43BB-9AB6-DFA82E37EED0}"/>
            </c:ext>
          </c:extLst>
        </c:ser>
        <c:ser>
          <c:idx val="5"/>
          <c:order val="5"/>
          <c:tx>
            <c:strRef>
              <c:f>'Flujos Mensuales'!$P$13</c:f>
              <c:strCache>
                <c:ptCount val="1"/>
                <c:pt idx="0">
                  <c:v>Utilities y
otros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cat>
            <c:numRef>
              <c:f>'Flujos Mensuales'!$B$14:$B$374</c:f>
              <c:numCache>
                <c:formatCode>General</c:formatCode>
                <c:ptCount val="3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</c:numCache>
            </c:numRef>
          </c:cat>
          <c:val>
            <c:numRef>
              <c:f>'Flujos Mensuales'!$P$14:$P$374</c:f>
              <c:numCache>
                <c:formatCode>_("$"* #,##0.00_);_("$"* \(#,##0.00\);_("$"* "-"??_);_(@_)</c:formatCode>
                <c:ptCount val="361"/>
                <c:pt idx="0">
                  <c:v>0</c:v>
                </c:pt>
                <c:pt idx="1">
                  <c:v>34.75</c:v>
                </c:pt>
                <c:pt idx="2">
                  <c:v>34.75</c:v>
                </c:pt>
                <c:pt idx="3">
                  <c:v>34.75</c:v>
                </c:pt>
                <c:pt idx="4">
                  <c:v>34.75</c:v>
                </c:pt>
                <c:pt idx="5">
                  <c:v>34.75</c:v>
                </c:pt>
                <c:pt idx="6">
                  <c:v>34.75</c:v>
                </c:pt>
                <c:pt idx="7">
                  <c:v>34.75</c:v>
                </c:pt>
                <c:pt idx="8">
                  <c:v>34.75</c:v>
                </c:pt>
                <c:pt idx="9">
                  <c:v>34.75</c:v>
                </c:pt>
                <c:pt idx="10">
                  <c:v>34.75</c:v>
                </c:pt>
                <c:pt idx="11">
                  <c:v>34.75</c:v>
                </c:pt>
                <c:pt idx="12">
                  <c:v>35.097500000000004</c:v>
                </c:pt>
                <c:pt idx="13">
                  <c:v>35.097500000000004</c:v>
                </c:pt>
                <c:pt idx="14">
                  <c:v>35.097500000000004</c:v>
                </c:pt>
                <c:pt idx="15">
                  <c:v>35.097500000000004</c:v>
                </c:pt>
                <c:pt idx="16">
                  <c:v>35.097500000000004</c:v>
                </c:pt>
                <c:pt idx="17">
                  <c:v>35.097500000000004</c:v>
                </c:pt>
                <c:pt idx="18">
                  <c:v>35.097500000000004</c:v>
                </c:pt>
                <c:pt idx="19">
                  <c:v>35.097500000000004</c:v>
                </c:pt>
                <c:pt idx="20">
                  <c:v>35.097500000000004</c:v>
                </c:pt>
                <c:pt idx="21">
                  <c:v>35.097500000000004</c:v>
                </c:pt>
                <c:pt idx="22">
                  <c:v>35.097500000000004</c:v>
                </c:pt>
                <c:pt idx="23">
                  <c:v>35.097500000000004</c:v>
                </c:pt>
                <c:pt idx="24">
                  <c:v>35.448475000000002</c:v>
                </c:pt>
                <c:pt idx="25">
                  <c:v>35.448475000000002</c:v>
                </c:pt>
                <c:pt idx="26">
                  <c:v>35.448475000000002</c:v>
                </c:pt>
                <c:pt idx="27">
                  <c:v>35.448475000000002</c:v>
                </c:pt>
                <c:pt idx="28">
                  <c:v>35.448475000000002</c:v>
                </c:pt>
                <c:pt idx="29">
                  <c:v>35.448475000000002</c:v>
                </c:pt>
                <c:pt idx="30">
                  <c:v>35.448475000000002</c:v>
                </c:pt>
                <c:pt idx="31">
                  <c:v>35.448475000000002</c:v>
                </c:pt>
                <c:pt idx="32">
                  <c:v>35.448475000000002</c:v>
                </c:pt>
                <c:pt idx="33">
                  <c:v>35.448475000000002</c:v>
                </c:pt>
                <c:pt idx="34">
                  <c:v>35.448475000000002</c:v>
                </c:pt>
                <c:pt idx="35">
                  <c:v>35.448475000000002</c:v>
                </c:pt>
                <c:pt idx="36">
                  <c:v>35.802959750000007</c:v>
                </c:pt>
                <c:pt idx="37">
                  <c:v>35.802959750000007</c:v>
                </c:pt>
                <c:pt idx="38">
                  <c:v>35.802959750000007</c:v>
                </c:pt>
                <c:pt idx="39">
                  <c:v>35.802959750000007</c:v>
                </c:pt>
                <c:pt idx="40">
                  <c:v>35.802959750000007</c:v>
                </c:pt>
                <c:pt idx="41">
                  <c:v>35.802959750000007</c:v>
                </c:pt>
                <c:pt idx="42">
                  <c:v>35.802959750000007</c:v>
                </c:pt>
                <c:pt idx="43">
                  <c:v>35.802959750000007</c:v>
                </c:pt>
                <c:pt idx="44">
                  <c:v>35.802959750000007</c:v>
                </c:pt>
                <c:pt idx="45">
                  <c:v>35.802959750000007</c:v>
                </c:pt>
                <c:pt idx="46">
                  <c:v>35.802959750000007</c:v>
                </c:pt>
                <c:pt idx="47">
                  <c:v>35.802959750000007</c:v>
                </c:pt>
                <c:pt idx="48">
                  <c:v>36.160989347500006</c:v>
                </c:pt>
                <c:pt idx="49">
                  <c:v>36.160989347500006</c:v>
                </c:pt>
                <c:pt idx="50">
                  <c:v>36.160989347500006</c:v>
                </c:pt>
                <c:pt idx="51">
                  <c:v>36.160989347500006</c:v>
                </c:pt>
                <c:pt idx="52">
                  <c:v>36.160989347500006</c:v>
                </c:pt>
                <c:pt idx="53">
                  <c:v>36.160989347500006</c:v>
                </c:pt>
                <c:pt idx="54">
                  <c:v>36.160989347500006</c:v>
                </c:pt>
                <c:pt idx="55">
                  <c:v>36.160989347500006</c:v>
                </c:pt>
                <c:pt idx="56">
                  <c:v>36.160989347500006</c:v>
                </c:pt>
                <c:pt idx="57">
                  <c:v>36.160989347500006</c:v>
                </c:pt>
                <c:pt idx="58">
                  <c:v>36.160989347500006</c:v>
                </c:pt>
                <c:pt idx="59">
                  <c:v>36.160989347500006</c:v>
                </c:pt>
                <c:pt idx="60">
                  <c:v>36.522599240975005</c:v>
                </c:pt>
                <c:pt idx="61">
                  <c:v>36.522599240975005</c:v>
                </c:pt>
                <c:pt idx="62">
                  <c:v>36.522599240975005</c:v>
                </c:pt>
                <c:pt idx="63">
                  <c:v>36.522599240975005</c:v>
                </c:pt>
                <c:pt idx="64">
                  <c:v>36.522599240975005</c:v>
                </c:pt>
                <c:pt idx="65">
                  <c:v>36.522599240975005</c:v>
                </c:pt>
                <c:pt idx="66">
                  <c:v>36.522599240975005</c:v>
                </c:pt>
                <c:pt idx="67">
                  <c:v>36.522599240975005</c:v>
                </c:pt>
                <c:pt idx="68">
                  <c:v>36.522599240975005</c:v>
                </c:pt>
                <c:pt idx="69">
                  <c:v>36.522599240975005</c:v>
                </c:pt>
                <c:pt idx="70">
                  <c:v>36.522599240975005</c:v>
                </c:pt>
                <c:pt idx="71">
                  <c:v>36.522599240975005</c:v>
                </c:pt>
                <c:pt idx="72">
                  <c:v>36.88782523338476</c:v>
                </c:pt>
                <c:pt idx="73">
                  <c:v>36.88782523338476</c:v>
                </c:pt>
                <c:pt idx="74">
                  <c:v>36.88782523338476</c:v>
                </c:pt>
                <c:pt idx="75">
                  <c:v>36.88782523338476</c:v>
                </c:pt>
                <c:pt idx="76">
                  <c:v>36.88782523338476</c:v>
                </c:pt>
                <c:pt idx="77">
                  <c:v>36.88782523338476</c:v>
                </c:pt>
                <c:pt idx="78">
                  <c:v>36.88782523338476</c:v>
                </c:pt>
                <c:pt idx="79">
                  <c:v>36.88782523338476</c:v>
                </c:pt>
                <c:pt idx="80">
                  <c:v>36.88782523338476</c:v>
                </c:pt>
                <c:pt idx="81">
                  <c:v>36.88782523338476</c:v>
                </c:pt>
                <c:pt idx="82">
                  <c:v>36.88782523338476</c:v>
                </c:pt>
                <c:pt idx="83">
                  <c:v>36.88782523338476</c:v>
                </c:pt>
                <c:pt idx="84">
                  <c:v>37.25670348571861</c:v>
                </c:pt>
                <c:pt idx="85">
                  <c:v>37.25670348571861</c:v>
                </c:pt>
                <c:pt idx="86">
                  <c:v>37.25670348571861</c:v>
                </c:pt>
                <c:pt idx="87">
                  <c:v>37.25670348571861</c:v>
                </c:pt>
                <c:pt idx="88">
                  <c:v>37.25670348571861</c:v>
                </c:pt>
                <c:pt idx="89">
                  <c:v>37.25670348571861</c:v>
                </c:pt>
                <c:pt idx="90">
                  <c:v>37.25670348571861</c:v>
                </c:pt>
                <c:pt idx="91">
                  <c:v>37.25670348571861</c:v>
                </c:pt>
                <c:pt idx="92">
                  <c:v>37.25670348571861</c:v>
                </c:pt>
                <c:pt idx="93">
                  <c:v>37.25670348571861</c:v>
                </c:pt>
                <c:pt idx="94">
                  <c:v>37.25670348571861</c:v>
                </c:pt>
                <c:pt idx="95">
                  <c:v>37.25670348571861</c:v>
                </c:pt>
                <c:pt idx="96">
                  <c:v>37.629270520575794</c:v>
                </c:pt>
                <c:pt idx="97">
                  <c:v>37.629270520575794</c:v>
                </c:pt>
                <c:pt idx="98">
                  <c:v>37.629270520575794</c:v>
                </c:pt>
                <c:pt idx="99">
                  <c:v>37.629270520575794</c:v>
                </c:pt>
                <c:pt idx="100">
                  <c:v>37.629270520575794</c:v>
                </c:pt>
                <c:pt idx="101">
                  <c:v>37.629270520575794</c:v>
                </c:pt>
                <c:pt idx="102">
                  <c:v>37.629270520575794</c:v>
                </c:pt>
                <c:pt idx="103">
                  <c:v>37.629270520575794</c:v>
                </c:pt>
                <c:pt idx="104">
                  <c:v>37.629270520575794</c:v>
                </c:pt>
                <c:pt idx="105">
                  <c:v>37.629270520575794</c:v>
                </c:pt>
                <c:pt idx="106">
                  <c:v>37.629270520575794</c:v>
                </c:pt>
                <c:pt idx="107">
                  <c:v>37.629270520575794</c:v>
                </c:pt>
                <c:pt idx="108">
                  <c:v>38.00556322578155</c:v>
                </c:pt>
                <c:pt idx="109">
                  <c:v>38.00556322578155</c:v>
                </c:pt>
                <c:pt idx="110">
                  <c:v>38.00556322578155</c:v>
                </c:pt>
                <c:pt idx="111">
                  <c:v>38.00556322578155</c:v>
                </c:pt>
                <c:pt idx="112">
                  <c:v>38.00556322578155</c:v>
                </c:pt>
                <c:pt idx="113">
                  <c:v>38.00556322578155</c:v>
                </c:pt>
                <c:pt idx="114">
                  <c:v>38.00556322578155</c:v>
                </c:pt>
                <c:pt idx="115">
                  <c:v>38.00556322578155</c:v>
                </c:pt>
                <c:pt idx="116">
                  <c:v>38.00556322578155</c:v>
                </c:pt>
                <c:pt idx="117">
                  <c:v>38.00556322578155</c:v>
                </c:pt>
                <c:pt idx="118">
                  <c:v>38.00556322578155</c:v>
                </c:pt>
                <c:pt idx="119">
                  <c:v>38.00556322578155</c:v>
                </c:pt>
                <c:pt idx="120">
                  <c:v>38.385618858039372</c:v>
                </c:pt>
                <c:pt idx="121">
                  <c:v>38.385618858039372</c:v>
                </c:pt>
                <c:pt idx="122">
                  <c:v>38.385618858039372</c:v>
                </c:pt>
                <c:pt idx="123">
                  <c:v>38.385618858039372</c:v>
                </c:pt>
                <c:pt idx="124">
                  <c:v>38.385618858039372</c:v>
                </c:pt>
                <c:pt idx="125">
                  <c:v>38.385618858039372</c:v>
                </c:pt>
                <c:pt idx="126">
                  <c:v>38.385618858039372</c:v>
                </c:pt>
                <c:pt idx="127">
                  <c:v>38.385618858039372</c:v>
                </c:pt>
                <c:pt idx="128">
                  <c:v>38.385618858039372</c:v>
                </c:pt>
                <c:pt idx="129">
                  <c:v>38.385618858039372</c:v>
                </c:pt>
                <c:pt idx="130">
                  <c:v>38.385618858039372</c:v>
                </c:pt>
                <c:pt idx="131">
                  <c:v>38.385618858039372</c:v>
                </c:pt>
                <c:pt idx="132">
                  <c:v>38.769475046619768</c:v>
                </c:pt>
                <c:pt idx="133">
                  <c:v>38.769475046619768</c:v>
                </c:pt>
                <c:pt idx="134">
                  <c:v>38.769475046619768</c:v>
                </c:pt>
                <c:pt idx="135">
                  <c:v>38.769475046619768</c:v>
                </c:pt>
                <c:pt idx="136">
                  <c:v>38.769475046619768</c:v>
                </c:pt>
                <c:pt idx="137">
                  <c:v>38.769475046619768</c:v>
                </c:pt>
                <c:pt idx="138">
                  <c:v>38.769475046619768</c:v>
                </c:pt>
                <c:pt idx="139">
                  <c:v>38.769475046619768</c:v>
                </c:pt>
                <c:pt idx="140">
                  <c:v>38.769475046619768</c:v>
                </c:pt>
                <c:pt idx="141">
                  <c:v>38.769475046619768</c:v>
                </c:pt>
                <c:pt idx="142">
                  <c:v>38.769475046619768</c:v>
                </c:pt>
                <c:pt idx="143">
                  <c:v>38.769475046619768</c:v>
                </c:pt>
                <c:pt idx="144">
                  <c:v>39.157169797085963</c:v>
                </c:pt>
                <c:pt idx="145">
                  <c:v>39.157169797085963</c:v>
                </c:pt>
                <c:pt idx="146">
                  <c:v>39.157169797085963</c:v>
                </c:pt>
                <c:pt idx="147">
                  <c:v>39.157169797085963</c:v>
                </c:pt>
                <c:pt idx="148">
                  <c:v>39.157169797085963</c:v>
                </c:pt>
                <c:pt idx="149">
                  <c:v>39.157169797085963</c:v>
                </c:pt>
                <c:pt idx="150">
                  <c:v>39.157169797085963</c:v>
                </c:pt>
                <c:pt idx="151">
                  <c:v>39.157169797085963</c:v>
                </c:pt>
                <c:pt idx="152">
                  <c:v>39.157169797085963</c:v>
                </c:pt>
                <c:pt idx="153">
                  <c:v>39.157169797085963</c:v>
                </c:pt>
                <c:pt idx="154">
                  <c:v>39.157169797085963</c:v>
                </c:pt>
                <c:pt idx="155">
                  <c:v>39.157169797085963</c:v>
                </c:pt>
                <c:pt idx="156">
                  <c:v>39.548741495056824</c:v>
                </c:pt>
                <c:pt idx="157">
                  <c:v>39.548741495056824</c:v>
                </c:pt>
                <c:pt idx="158">
                  <c:v>39.548741495056824</c:v>
                </c:pt>
                <c:pt idx="159">
                  <c:v>39.548741495056824</c:v>
                </c:pt>
                <c:pt idx="160">
                  <c:v>39.548741495056824</c:v>
                </c:pt>
                <c:pt idx="161">
                  <c:v>39.548741495056824</c:v>
                </c:pt>
                <c:pt idx="162">
                  <c:v>39.548741495056824</c:v>
                </c:pt>
                <c:pt idx="163">
                  <c:v>39.548741495056824</c:v>
                </c:pt>
                <c:pt idx="164">
                  <c:v>39.548741495056824</c:v>
                </c:pt>
                <c:pt idx="165">
                  <c:v>39.548741495056824</c:v>
                </c:pt>
                <c:pt idx="166">
                  <c:v>39.548741495056824</c:v>
                </c:pt>
                <c:pt idx="167">
                  <c:v>39.548741495056824</c:v>
                </c:pt>
                <c:pt idx="168">
                  <c:v>39.944228910007396</c:v>
                </c:pt>
                <c:pt idx="169">
                  <c:v>39.944228910007396</c:v>
                </c:pt>
                <c:pt idx="170">
                  <c:v>39.944228910007396</c:v>
                </c:pt>
                <c:pt idx="171">
                  <c:v>39.944228910007396</c:v>
                </c:pt>
                <c:pt idx="172">
                  <c:v>39.944228910007396</c:v>
                </c:pt>
                <c:pt idx="173">
                  <c:v>39.944228910007396</c:v>
                </c:pt>
                <c:pt idx="174">
                  <c:v>39.944228910007396</c:v>
                </c:pt>
                <c:pt idx="175">
                  <c:v>39.944228910007396</c:v>
                </c:pt>
                <c:pt idx="176">
                  <c:v>39.944228910007396</c:v>
                </c:pt>
                <c:pt idx="177">
                  <c:v>39.944228910007396</c:v>
                </c:pt>
                <c:pt idx="178">
                  <c:v>39.944228910007396</c:v>
                </c:pt>
                <c:pt idx="179">
                  <c:v>39.944228910007396</c:v>
                </c:pt>
                <c:pt idx="180">
                  <c:v>40.343671199107469</c:v>
                </c:pt>
                <c:pt idx="181">
                  <c:v>40.343671199107469</c:v>
                </c:pt>
                <c:pt idx="182">
                  <c:v>40.343671199107469</c:v>
                </c:pt>
                <c:pt idx="183">
                  <c:v>40.343671199107469</c:v>
                </c:pt>
                <c:pt idx="184">
                  <c:v>40.343671199107469</c:v>
                </c:pt>
                <c:pt idx="185">
                  <c:v>40.343671199107469</c:v>
                </c:pt>
                <c:pt idx="186">
                  <c:v>40.343671199107469</c:v>
                </c:pt>
                <c:pt idx="187">
                  <c:v>40.343671199107469</c:v>
                </c:pt>
                <c:pt idx="188">
                  <c:v>40.343671199107469</c:v>
                </c:pt>
                <c:pt idx="189">
                  <c:v>40.343671199107469</c:v>
                </c:pt>
                <c:pt idx="190">
                  <c:v>40.343671199107469</c:v>
                </c:pt>
                <c:pt idx="191">
                  <c:v>40.343671199107469</c:v>
                </c:pt>
                <c:pt idx="192">
                  <c:v>40.747107911098546</c:v>
                </c:pt>
                <c:pt idx="193">
                  <c:v>40.747107911098546</c:v>
                </c:pt>
                <c:pt idx="194">
                  <c:v>40.747107911098546</c:v>
                </c:pt>
                <c:pt idx="195">
                  <c:v>40.747107911098546</c:v>
                </c:pt>
                <c:pt idx="196">
                  <c:v>40.747107911098546</c:v>
                </c:pt>
                <c:pt idx="197">
                  <c:v>40.747107911098546</c:v>
                </c:pt>
                <c:pt idx="198">
                  <c:v>40.747107911098546</c:v>
                </c:pt>
                <c:pt idx="199">
                  <c:v>40.747107911098546</c:v>
                </c:pt>
                <c:pt idx="200">
                  <c:v>40.747107911098546</c:v>
                </c:pt>
                <c:pt idx="201">
                  <c:v>40.747107911098546</c:v>
                </c:pt>
                <c:pt idx="202">
                  <c:v>40.747107911098546</c:v>
                </c:pt>
                <c:pt idx="203">
                  <c:v>40.747107911098546</c:v>
                </c:pt>
                <c:pt idx="204">
                  <c:v>41.154578990209536</c:v>
                </c:pt>
                <c:pt idx="205">
                  <c:v>41.154578990209536</c:v>
                </c:pt>
                <c:pt idx="206">
                  <c:v>41.154578990209536</c:v>
                </c:pt>
                <c:pt idx="207">
                  <c:v>41.154578990209536</c:v>
                </c:pt>
                <c:pt idx="208">
                  <c:v>41.154578990209536</c:v>
                </c:pt>
                <c:pt idx="209">
                  <c:v>41.154578990209536</c:v>
                </c:pt>
                <c:pt idx="210">
                  <c:v>41.154578990209536</c:v>
                </c:pt>
                <c:pt idx="211">
                  <c:v>41.154578990209536</c:v>
                </c:pt>
                <c:pt idx="212">
                  <c:v>41.154578990209536</c:v>
                </c:pt>
                <c:pt idx="213">
                  <c:v>41.154578990209536</c:v>
                </c:pt>
                <c:pt idx="214">
                  <c:v>41.154578990209536</c:v>
                </c:pt>
                <c:pt idx="215">
                  <c:v>41.154578990209536</c:v>
                </c:pt>
                <c:pt idx="216">
                  <c:v>41.566124780111629</c:v>
                </c:pt>
                <c:pt idx="217">
                  <c:v>41.566124780111629</c:v>
                </c:pt>
                <c:pt idx="218">
                  <c:v>41.566124780111629</c:v>
                </c:pt>
                <c:pt idx="219">
                  <c:v>41.566124780111629</c:v>
                </c:pt>
                <c:pt idx="220">
                  <c:v>41.566124780111629</c:v>
                </c:pt>
                <c:pt idx="221">
                  <c:v>41.566124780111629</c:v>
                </c:pt>
                <c:pt idx="222">
                  <c:v>41.566124780111629</c:v>
                </c:pt>
                <c:pt idx="223">
                  <c:v>41.566124780111629</c:v>
                </c:pt>
                <c:pt idx="224">
                  <c:v>41.566124780111629</c:v>
                </c:pt>
                <c:pt idx="225">
                  <c:v>41.566124780111629</c:v>
                </c:pt>
                <c:pt idx="226">
                  <c:v>41.566124780111629</c:v>
                </c:pt>
                <c:pt idx="227">
                  <c:v>41.566124780111629</c:v>
                </c:pt>
                <c:pt idx="228">
                  <c:v>41.981786027912747</c:v>
                </c:pt>
                <c:pt idx="229">
                  <c:v>41.981786027912747</c:v>
                </c:pt>
                <c:pt idx="230">
                  <c:v>41.981786027912747</c:v>
                </c:pt>
                <c:pt idx="231">
                  <c:v>41.981786027912747</c:v>
                </c:pt>
                <c:pt idx="232">
                  <c:v>41.981786027912747</c:v>
                </c:pt>
                <c:pt idx="233">
                  <c:v>41.981786027912747</c:v>
                </c:pt>
                <c:pt idx="234">
                  <c:v>41.981786027912747</c:v>
                </c:pt>
                <c:pt idx="235">
                  <c:v>41.981786027912747</c:v>
                </c:pt>
                <c:pt idx="236">
                  <c:v>41.981786027912747</c:v>
                </c:pt>
                <c:pt idx="237">
                  <c:v>41.981786027912747</c:v>
                </c:pt>
                <c:pt idx="238">
                  <c:v>41.981786027912747</c:v>
                </c:pt>
                <c:pt idx="239">
                  <c:v>41.981786027912747</c:v>
                </c:pt>
                <c:pt idx="240">
                  <c:v>42.401603888191879</c:v>
                </c:pt>
                <c:pt idx="241">
                  <c:v>42.401603888191879</c:v>
                </c:pt>
                <c:pt idx="242">
                  <c:v>42.401603888191879</c:v>
                </c:pt>
                <c:pt idx="243">
                  <c:v>42.401603888191879</c:v>
                </c:pt>
                <c:pt idx="244">
                  <c:v>42.401603888191879</c:v>
                </c:pt>
                <c:pt idx="245">
                  <c:v>42.401603888191879</c:v>
                </c:pt>
                <c:pt idx="246">
                  <c:v>42.401603888191879</c:v>
                </c:pt>
                <c:pt idx="247">
                  <c:v>42.401603888191879</c:v>
                </c:pt>
                <c:pt idx="248">
                  <c:v>42.401603888191879</c:v>
                </c:pt>
                <c:pt idx="249">
                  <c:v>42.401603888191879</c:v>
                </c:pt>
                <c:pt idx="250">
                  <c:v>42.401603888191879</c:v>
                </c:pt>
                <c:pt idx="251">
                  <c:v>42.401603888191879</c:v>
                </c:pt>
                <c:pt idx="252">
                  <c:v>42.825619927073795</c:v>
                </c:pt>
                <c:pt idx="253">
                  <c:v>42.825619927073795</c:v>
                </c:pt>
                <c:pt idx="254">
                  <c:v>42.825619927073795</c:v>
                </c:pt>
                <c:pt idx="255">
                  <c:v>42.825619927073795</c:v>
                </c:pt>
                <c:pt idx="256">
                  <c:v>42.825619927073795</c:v>
                </c:pt>
                <c:pt idx="257">
                  <c:v>42.825619927073795</c:v>
                </c:pt>
                <c:pt idx="258">
                  <c:v>42.825619927073795</c:v>
                </c:pt>
                <c:pt idx="259">
                  <c:v>42.825619927073795</c:v>
                </c:pt>
                <c:pt idx="260">
                  <c:v>42.825619927073795</c:v>
                </c:pt>
                <c:pt idx="261">
                  <c:v>42.825619927073795</c:v>
                </c:pt>
                <c:pt idx="262">
                  <c:v>42.825619927073795</c:v>
                </c:pt>
                <c:pt idx="263">
                  <c:v>42.825619927073795</c:v>
                </c:pt>
                <c:pt idx="264">
                  <c:v>43.253876126344529</c:v>
                </c:pt>
                <c:pt idx="265">
                  <c:v>43.253876126344529</c:v>
                </c:pt>
                <c:pt idx="266">
                  <c:v>43.253876126344529</c:v>
                </c:pt>
                <c:pt idx="267">
                  <c:v>43.253876126344529</c:v>
                </c:pt>
                <c:pt idx="268">
                  <c:v>43.253876126344529</c:v>
                </c:pt>
                <c:pt idx="269">
                  <c:v>43.253876126344529</c:v>
                </c:pt>
                <c:pt idx="270">
                  <c:v>43.253876126344529</c:v>
                </c:pt>
                <c:pt idx="271">
                  <c:v>43.253876126344529</c:v>
                </c:pt>
                <c:pt idx="272">
                  <c:v>43.253876126344529</c:v>
                </c:pt>
                <c:pt idx="273">
                  <c:v>43.253876126344529</c:v>
                </c:pt>
                <c:pt idx="274">
                  <c:v>43.253876126344529</c:v>
                </c:pt>
                <c:pt idx="275">
                  <c:v>43.253876126344529</c:v>
                </c:pt>
                <c:pt idx="276">
                  <c:v>43.686414887607981</c:v>
                </c:pt>
                <c:pt idx="277">
                  <c:v>43.686414887607981</c:v>
                </c:pt>
                <c:pt idx="278">
                  <c:v>43.686414887607981</c:v>
                </c:pt>
                <c:pt idx="279">
                  <c:v>43.686414887607981</c:v>
                </c:pt>
                <c:pt idx="280">
                  <c:v>43.686414887607981</c:v>
                </c:pt>
                <c:pt idx="281">
                  <c:v>43.686414887607981</c:v>
                </c:pt>
                <c:pt idx="282">
                  <c:v>43.686414887607981</c:v>
                </c:pt>
                <c:pt idx="283">
                  <c:v>43.686414887607981</c:v>
                </c:pt>
                <c:pt idx="284">
                  <c:v>43.686414887607981</c:v>
                </c:pt>
                <c:pt idx="285">
                  <c:v>43.686414887607981</c:v>
                </c:pt>
                <c:pt idx="286">
                  <c:v>43.686414887607981</c:v>
                </c:pt>
                <c:pt idx="287">
                  <c:v>43.686414887607981</c:v>
                </c:pt>
                <c:pt idx="288">
                  <c:v>44.123279036484064</c:v>
                </c:pt>
                <c:pt idx="289">
                  <c:v>44.123279036484064</c:v>
                </c:pt>
                <c:pt idx="290">
                  <c:v>44.123279036484064</c:v>
                </c:pt>
                <c:pt idx="291">
                  <c:v>44.123279036484064</c:v>
                </c:pt>
                <c:pt idx="292">
                  <c:v>44.123279036484064</c:v>
                </c:pt>
                <c:pt idx="293">
                  <c:v>44.123279036484064</c:v>
                </c:pt>
                <c:pt idx="294">
                  <c:v>44.123279036484064</c:v>
                </c:pt>
                <c:pt idx="295">
                  <c:v>44.123279036484064</c:v>
                </c:pt>
                <c:pt idx="296">
                  <c:v>44.123279036484064</c:v>
                </c:pt>
                <c:pt idx="297">
                  <c:v>44.123279036484064</c:v>
                </c:pt>
                <c:pt idx="298">
                  <c:v>44.123279036484064</c:v>
                </c:pt>
                <c:pt idx="299">
                  <c:v>44.123279036484064</c:v>
                </c:pt>
                <c:pt idx="300">
                  <c:v>44.564511826848907</c:v>
                </c:pt>
                <c:pt idx="301">
                  <c:v>44.564511826848907</c:v>
                </c:pt>
                <c:pt idx="302">
                  <c:v>44.564511826848907</c:v>
                </c:pt>
                <c:pt idx="303">
                  <c:v>44.564511826848907</c:v>
                </c:pt>
                <c:pt idx="304">
                  <c:v>44.564511826848907</c:v>
                </c:pt>
                <c:pt idx="305">
                  <c:v>44.564511826848907</c:v>
                </c:pt>
                <c:pt idx="306">
                  <c:v>44.564511826848907</c:v>
                </c:pt>
                <c:pt idx="307">
                  <c:v>44.564511826848907</c:v>
                </c:pt>
                <c:pt idx="308">
                  <c:v>44.564511826848907</c:v>
                </c:pt>
                <c:pt idx="309">
                  <c:v>44.564511826848907</c:v>
                </c:pt>
                <c:pt idx="310">
                  <c:v>44.564511826848907</c:v>
                </c:pt>
                <c:pt idx="311">
                  <c:v>44.564511826848907</c:v>
                </c:pt>
                <c:pt idx="312">
                  <c:v>45.010156945117394</c:v>
                </c:pt>
                <c:pt idx="313">
                  <c:v>45.010156945117394</c:v>
                </c:pt>
                <c:pt idx="314">
                  <c:v>45.010156945117394</c:v>
                </c:pt>
                <c:pt idx="315">
                  <c:v>45.010156945117394</c:v>
                </c:pt>
                <c:pt idx="316">
                  <c:v>45.010156945117394</c:v>
                </c:pt>
                <c:pt idx="317">
                  <c:v>45.010156945117394</c:v>
                </c:pt>
                <c:pt idx="318">
                  <c:v>45.010156945117394</c:v>
                </c:pt>
                <c:pt idx="319">
                  <c:v>45.010156945117394</c:v>
                </c:pt>
                <c:pt idx="320">
                  <c:v>45.010156945117394</c:v>
                </c:pt>
                <c:pt idx="321">
                  <c:v>45.010156945117394</c:v>
                </c:pt>
                <c:pt idx="322">
                  <c:v>45.010156945117394</c:v>
                </c:pt>
                <c:pt idx="323">
                  <c:v>45.010156945117394</c:v>
                </c:pt>
                <c:pt idx="324">
                  <c:v>45.460258514568572</c:v>
                </c:pt>
                <c:pt idx="325">
                  <c:v>45.460258514568572</c:v>
                </c:pt>
                <c:pt idx="326">
                  <c:v>45.460258514568572</c:v>
                </c:pt>
                <c:pt idx="327">
                  <c:v>45.460258514568572</c:v>
                </c:pt>
                <c:pt idx="328">
                  <c:v>45.460258514568572</c:v>
                </c:pt>
                <c:pt idx="329">
                  <c:v>45.460258514568572</c:v>
                </c:pt>
                <c:pt idx="330">
                  <c:v>45.460258514568572</c:v>
                </c:pt>
                <c:pt idx="331">
                  <c:v>45.460258514568572</c:v>
                </c:pt>
                <c:pt idx="332">
                  <c:v>45.460258514568572</c:v>
                </c:pt>
                <c:pt idx="333">
                  <c:v>45.460258514568572</c:v>
                </c:pt>
                <c:pt idx="334">
                  <c:v>45.460258514568572</c:v>
                </c:pt>
                <c:pt idx="335">
                  <c:v>45.460258514568572</c:v>
                </c:pt>
                <c:pt idx="336">
                  <c:v>45.914861099714251</c:v>
                </c:pt>
                <c:pt idx="337">
                  <c:v>45.914861099714251</c:v>
                </c:pt>
                <c:pt idx="338">
                  <c:v>45.914861099714251</c:v>
                </c:pt>
                <c:pt idx="339">
                  <c:v>45.914861099714251</c:v>
                </c:pt>
                <c:pt idx="340">
                  <c:v>45.914861099714251</c:v>
                </c:pt>
                <c:pt idx="341">
                  <c:v>45.914861099714251</c:v>
                </c:pt>
                <c:pt idx="342">
                  <c:v>45.914861099714251</c:v>
                </c:pt>
                <c:pt idx="343">
                  <c:v>45.914861099714251</c:v>
                </c:pt>
                <c:pt idx="344">
                  <c:v>45.914861099714251</c:v>
                </c:pt>
                <c:pt idx="345">
                  <c:v>45.914861099714251</c:v>
                </c:pt>
                <c:pt idx="346">
                  <c:v>45.914861099714251</c:v>
                </c:pt>
                <c:pt idx="347">
                  <c:v>45.914861099714251</c:v>
                </c:pt>
                <c:pt idx="348">
                  <c:v>46.374009710711398</c:v>
                </c:pt>
                <c:pt idx="349">
                  <c:v>46.374009710711398</c:v>
                </c:pt>
                <c:pt idx="350">
                  <c:v>46.374009710711398</c:v>
                </c:pt>
                <c:pt idx="351">
                  <c:v>46.374009710711398</c:v>
                </c:pt>
                <c:pt idx="352">
                  <c:v>46.374009710711398</c:v>
                </c:pt>
                <c:pt idx="353">
                  <c:v>46.374009710711398</c:v>
                </c:pt>
                <c:pt idx="354">
                  <c:v>46.374009710711398</c:v>
                </c:pt>
                <c:pt idx="355">
                  <c:v>46.374009710711398</c:v>
                </c:pt>
                <c:pt idx="356">
                  <c:v>46.374009710711398</c:v>
                </c:pt>
                <c:pt idx="357">
                  <c:v>46.374009710711398</c:v>
                </c:pt>
                <c:pt idx="358">
                  <c:v>46.374009710711398</c:v>
                </c:pt>
                <c:pt idx="359">
                  <c:v>46.374009710711398</c:v>
                </c:pt>
                <c:pt idx="360">
                  <c:v>46.837749807818511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51B-43BB-9AB6-DFA82E37E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71087"/>
        <c:axId val="25267727"/>
      </c:areaChart>
      <c:catAx>
        <c:axId val="25271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7727"/>
        <c:crosses val="autoZero"/>
        <c:auto val="1"/>
        <c:lblAlgn val="ctr"/>
        <c:lblOffset val="100"/>
        <c:noMultiLvlLbl val="0"/>
      </c:catAx>
      <c:valAx>
        <c:axId val="2526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7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Pago Anuales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'Flujos Anuales'!$I$8</c:f>
              <c:strCache>
                <c:ptCount val="1"/>
                <c:pt idx="0">
                  <c:v>Pago Annual Mortgage
(Intereses, Capital, impuestos, seguro del credito)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Anuales'!$I$9:$I$49</c:f>
              <c:numCache>
                <c:formatCode>_("$"* #,##0.00_);_("$"* \(#,##0.00\);_("$"* "-"??_);_(@_)</c:formatCode>
                <c:ptCount val="41"/>
                <c:pt idx="0">
                  <c:v>23262.803930489667</c:v>
                </c:pt>
                <c:pt idx="1">
                  <c:v>25406.424128969655</c:v>
                </c:pt>
                <c:pt idx="2">
                  <c:v>22963.722657374281</c:v>
                </c:pt>
                <c:pt idx="3">
                  <c:v>22498.595882471422</c:v>
                </c:pt>
                <c:pt idx="4">
                  <c:v>22528.013623048566</c:v>
                </c:pt>
                <c:pt idx="5">
                  <c:v>22557.633407294121</c:v>
                </c:pt>
                <c:pt idx="6">
                  <c:v>22587.456622862028</c:v>
                </c:pt>
                <c:pt idx="7">
                  <c:v>22617.484666936823</c:v>
                </c:pt>
                <c:pt idx="8">
                  <c:v>22647.718946298919</c:v>
                </c:pt>
                <c:pt idx="9">
                  <c:v>22678.16087739071</c:v>
                </c:pt>
                <c:pt idx="10">
                  <c:v>22708.811886382813</c:v>
                </c:pt>
                <c:pt idx="11">
                  <c:v>22739.673409240902</c:v>
                </c:pt>
                <c:pt idx="12">
                  <c:v>22770.746891792995</c:v>
                </c:pt>
                <c:pt idx="13">
                  <c:v>22802.03378979722</c:v>
                </c:pt>
                <c:pt idx="14">
                  <c:v>22833.535569009935</c:v>
                </c:pt>
                <c:pt idx="15">
                  <c:v>22865.253705254439</c:v>
                </c:pt>
                <c:pt idx="16">
                  <c:v>22897.189684490189</c:v>
                </c:pt>
                <c:pt idx="17">
                  <c:v>22929.345002882259</c:v>
                </c:pt>
                <c:pt idx="18">
                  <c:v>22961.721166871575</c:v>
                </c:pt>
                <c:pt idx="19">
                  <c:v>22994.319693245416</c:v>
                </c:pt>
                <c:pt idx="20">
                  <c:v>23027.142109208453</c:v>
                </c:pt>
                <c:pt idx="21">
                  <c:v>23060.189952454424</c:v>
                </c:pt>
                <c:pt idx="22">
                  <c:v>23093.464771237996</c:v>
                </c:pt>
                <c:pt idx="23">
                  <c:v>23126.968124447423</c:v>
                </c:pt>
                <c:pt idx="24">
                  <c:v>23160.701581677578</c:v>
                </c:pt>
                <c:pt idx="25">
                  <c:v>23194.666723303377</c:v>
                </c:pt>
                <c:pt idx="26">
                  <c:v>23228.865140553953</c:v>
                </c:pt>
                <c:pt idx="27">
                  <c:v>23263.298435587105</c:v>
                </c:pt>
                <c:pt idx="28">
                  <c:v>23297.968221564443</c:v>
                </c:pt>
                <c:pt idx="29">
                  <c:v>23332.876122726855</c:v>
                </c:pt>
                <c:pt idx="30">
                  <c:v>1947.3353145392243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E2-484A-86CC-688C08FFD9B0}"/>
            </c:ext>
          </c:extLst>
        </c:ser>
        <c:ser>
          <c:idx val="1"/>
          <c:order val="1"/>
          <c:tx>
            <c:strRef>
              <c:f>'Flujos Anuales'!$J$8</c:f>
              <c:strCache>
                <c:ptCount val="1"/>
                <c:pt idx="0">
                  <c:v>Mantenimiento
Mayor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Anuales'!$J$9:$J$49</c:f>
              <c:numCache>
                <c:formatCode>_("$"* #,##0.00_);_("$"* \(#,##0.00\);_("$"* "-"??_);_(@_)</c:formatCode>
                <c:ptCount val="41"/>
                <c:pt idx="0">
                  <c:v>0</c:v>
                </c:pt>
                <c:pt idx="1">
                  <c:v>2613.1414883766474</c:v>
                </c:pt>
                <c:pt idx="2">
                  <c:v>2732.4963738596712</c:v>
                </c:pt>
                <c:pt idx="3">
                  <c:v>2857.302777659645</c:v>
                </c:pt>
                <c:pt idx="4">
                  <c:v>2987.8096971413574</c:v>
                </c:pt>
                <c:pt idx="5">
                  <c:v>3124.2775025906949</c:v>
                </c:pt>
                <c:pt idx="6">
                  <c:v>3266.9784566712783</c:v>
                </c:pt>
                <c:pt idx="7">
                  <c:v>3416.1972576072126</c:v>
                </c:pt>
                <c:pt idx="8">
                  <c:v>3572.2316071756436</c:v>
                </c:pt>
                <c:pt idx="9">
                  <c:v>3735.392804642282</c:v>
                </c:pt>
                <c:pt idx="10">
                  <c:v>3906.0063678248703</c:v>
                </c:pt>
                <c:pt idx="11">
                  <c:v>4084.4126825236262</c:v>
                </c:pt>
                <c:pt idx="12">
                  <c:v>4270.9676816143437</c:v>
                </c:pt>
                <c:pt idx="13">
                  <c:v>4466.043555158969</c:v>
                </c:pt>
                <c:pt idx="14">
                  <c:v>4670.0294929503971</c:v>
                </c:pt>
                <c:pt idx="15">
                  <c:v>4883.3324609728843</c:v>
                </c:pt>
                <c:pt idx="16">
                  <c:v>5106.3780133272021</c:v>
                </c:pt>
                <c:pt idx="17">
                  <c:v>5339.6111412403488</c:v>
                </c:pt>
                <c:pt idx="18">
                  <c:v>5583.4971608536753</c:v>
                </c:pt>
                <c:pt idx="19">
                  <c:v>5838.5226415606066</c:v>
                </c:pt>
                <c:pt idx="20">
                  <c:v>6105.196376746072</c:v>
                </c:pt>
                <c:pt idx="21">
                  <c:v>6384.0503988643241</c:v>
                </c:pt>
                <c:pt idx="22">
                  <c:v>6675.6410408802913</c:v>
                </c:pt>
                <c:pt idx="23">
                  <c:v>6980.5500461921374</c:v>
                </c:pt>
                <c:pt idx="24">
                  <c:v>7299.3857292493794</c:v>
                </c:pt>
                <c:pt idx="25">
                  <c:v>7632.7841891820644</c:v>
                </c:pt>
                <c:pt idx="26">
                  <c:v>7981.4105788623301</c:v>
                </c:pt>
                <c:pt idx="27">
                  <c:v>8345.9604319301416</c:v>
                </c:pt>
                <c:pt idx="28">
                  <c:v>8727.1610504307882</c:v>
                </c:pt>
                <c:pt idx="29">
                  <c:v>9125.7729558324972</c:v>
                </c:pt>
                <c:pt idx="30">
                  <c:v>9542.5914063191231</c:v>
                </c:pt>
                <c:pt idx="31">
                  <c:v>9978.4479833849327</c:v>
                </c:pt>
                <c:pt idx="32">
                  <c:v>10434.212250896942</c:v>
                </c:pt>
                <c:pt idx="33">
                  <c:v>10910.793489934646</c:v>
                </c:pt>
                <c:pt idx="34">
                  <c:v>11409.142512868371</c:v>
                </c:pt>
                <c:pt idx="35">
                  <c:v>11930.25356029537</c:v>
                </c:pt>
                <c:pt idx="36">
                  <c:v>12475.166284618264</c:v>
                </c:pt>
                <c:pt idx="37">
                  <c:v>13044.967824223104</c:v>
                </c:pt>
                <c:pt idx="38">
                  <c:v>13640.794972395292</c:v>
                </c:pt>
                <c:pt idx="39">
                  <c:v>14263.836445300407</c:v>
                </c:pt>
                <c:pt idx="40">
                  <c:v>14915.335253554769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E2-484A-86CC-688C08FFD9B0}"/>
            </c:ext>
          </c:extLst>
        </c:ser>
        <c:ser>
          <c:idx val="2"/>
          <c:order val="2"/>
          <c:tx>
            <c:strRef>
              <c:f>'Flujos Anuales'!$K$8</c:f>
              <c:strCache>
                <c:ptCount val="1"/>
                <c:pt idx="0">
                  <c:v>Utilities y
otros</c:v>
                </c:pt>
              </c:strCache>
            </c:strRef>
          </c:tx>
          <c:spPr>
            <a:solidFill>
              <a:srgbClr val="92D050"/>
            </a:soli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Anuales'!$K$9:$K$49</c:f>
              <c:numCache>
                <c:formatCode>_("$"* #,##0.00_);_("$"* \(#,##0.00\);_("$"* "-"??_);_(@_)</c:formatCode>
                <c:ptCount val="41"/>
                <c:pt idx="0">
                  <c:v>417</c:v>
                </c:pt>
                <c:pt idx="1">
                  <c:v>421.17</c:v>
                </c:pt>
                <c:pt idx="2">
                  <c:v>425.38170000000002</c:v>
                </c:pt>
                <c:pt idx="3">
                  <c:v>429.63551700000005</c:v>
                </c:pt>
                <c:pt idx="4">
                  <c:v>433.93187217000008</c:v>
                </c:pt>
                <c:pt idx="5">
                  <c:v>438.27119089170009</c:v>
                </c:pt>
                <c:pt idx="6">
                  <c:v>442.65390280061712</c:v>
                </c:pt>
                <c:pt idx="7">
                  <c:v>447.08044182862329</c:v>
                </c:pt>
                <c:pt idx="8">
                  <c:v>451.55124624690956</c:v>
                </c:pt>
                <c:pt idx="9">
                  <c:v>456.06675870937863</c:v>
                </c:pt>
                <c:pt idx="10">
                  <c:v>460.62742629647244</c:v>
                </c:pt>
                <c:pt idx="11">
                  <c:v>465.23370055943718</c:v>
                </c:pt>
                <c:pt idx="12">
                  <c:v>469.88603756503159</c:v>
                </c:pt>
                <c:pt idx="13">
                  <c:v>474.58489794068191</c:v>
                </c:pt>
                <c:pt idx="14">
                  <c:v>479.33074692008876</c:v>
                </c:pt>
                <c:pt idx="15">
                  <c:v>484.12405438928965</c:v>
                </c:pt>
                <c:pt idx="16">
                  <c:v>488.96529493318258</c:v>
                </c:pt>
                <c:pt idx="17">
                  <c:v>493.85494788251441</c:v>
                </c:pt>
                <c:pt idx="18">
                  <c:v>498.79349736133958</c:v>
                </c:pt>
                <c:pt idx="19">
                  <c:v>503.78143233495297</c:v>
                </c:pt>
                <c:pt idx="20">
                  <c:v>508.81924665830252</c:v>
                </c:pt>
                <c:pt idx="21">
                  <c:v>513.90743912488551</c:v>
                </c:pt>
                <c:pt idx="22">
                  <c:v>519.04651351613438</c:v>
                </c:pt>
                <c:pt idx="23">
                  <c:v>524.23697865129577</c:v>
                </c:pt>
                <c:pt idx="24">
                  <c:v>529.47934843780877</c:v>
                </c:pt>
                <c:pt idx="25">
                  <c:v>534.77414192218691</c:v>
                </c:pt>
                <c:pt idx="26">
                  <c:v>540.12188334140876</c:v>
                </c:pt>
                <c:pt idx="27">
                  <c:v>545.52310217482284</c:v>
                </c:pt>
                <c:pt idx="28">
                  <c:v>550.97833319657104</c:v>
                </c:pt>
                <c:pt idx="29">
                  <c:v>556.48811652853681</c:v>
                </c:pt>
                <c:pt idx="30">
                  <c:v>562.05299769382214</c:v>
                </c:pt>
                <c:pt idx="31">
                  <c:v>567.67352767076034</c:v>
                </c:pt>
                <c:pt idx="32">
                  <c:v>573.35026294746797</c:v>
                </c:pt>
                <c:pt idx="33">
                  <c:v>579.0837655769426</c:v>
                </c:pt>
                <c:pt idx="34">
                  <c:v>584.87460323271205</c:v>
                </c:pt>
                <c:pt idx="35">
                  <c:v>590.72334926503913</c:v>
                </c:pt>
                <c:pt idx="36">
                  <c:v>596.63058275768958</c:v>
                </c:pt>
                <c:pt idx="37">
                  <c:v>602.59688858526647</c:v>
                </c:pt>
                <c:pt idx="38">
                  <c:v>608.62285747111912</c:v>
                </c:pt>
                <c:pt idx="39">
                  <c:v>614.7090860458303</c:v>
                </c:pt>
                <c:pt idx="40">
                  <c:v>620.85617690628862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E2-484A-86CC-688C08FFD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181263"/>
        <c:axId val="1849181743"/>
      </c:areaChart>
      <c:catAx>
        <c:axId val="184918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81743"/>
        <c:crosses val="autoZero"/>
        <c:auto val="1"/>
        <c:lblAlgn val="ctr"/>
        <c:lblOffset val="100"/>
        <c:noMultiLvlLbl val="0"/>
      </c:catAx>
      <c:valAx>
        <c:axId val="184918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81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Home Equity, Value</a:t>
            </a:r>
            <a:r>
              <a:rPr lang="en-US" b="1" baseline="0"/>
              <a:t> and Cash Outflows over 40 years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'Flujos Anuales'!$M$8</c:f>
              <c:strCache>
                <c:ptCount val="1"/>
                <c:pt idx="0">
                  <c:v>Cumulative
Cash Outflow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Anuales'!$M$9:$M$49</c:f>
              <c:numCache>
                <c:formatCode>_("$"* #,##0.00_);_("$"* \(#,##0.00\);_("$"* "-"??_);_(@_)</c:formatCode>
                <c:ptCount val="41"/>
                <c:pt idx="0">
                  <c:v>70411.103930489669</c:v>
                </c:pt>
                <c:pt idx="1">
                  <c:v>98851.839547835974</c:v>
                </c:pt>
                <c:pt idx="2">
                  <c:v>124973.44027906992</c:v>
                </c:pt>
                <c:pt idx="3">
                  <c:v>150758.97445620099</c:v>
                </c:pt>
                <c:pt idx="4">
                  <c:v>176708.72964856093</c:v>
                </c:pt>
                <c:pt idx="5">
                  <c:v>202828.91174933745</c:v>
                </c:pt>
                <c:pt idx="6">
                  <c:v>229126.00073167137</c:v>
                </c:pt>
                <c:pt idx="7">
                  <c:v>255606.76309804403</c:v>
                </c:pt>
                <c:pt idx="8">
                  <c:v>282278.26489776548</c:v>
                </c:pt>
                <c:pt idx="9">
                  <c:v>309147.88533850783</c:v>
                </c:pt>
                <c:pt idx="10">
                  <c:v>336223.33101901197</c:v>
                </c:pt>
                <c:pt idx="11">
                  <c:v>363512.65081133595</c:v>
                </c:pt>
                <c:pt idx="12">
                  <c:v>391024.25142230833</c:v>
                </c:pt>
                <c:pt idx="13">
                  <c:v>418766.91366520518</c:v>
                </c:pt>
                <c:pt idx="14">
                  <c:v>446749.80947408557</c:v>
                </c:pt>
                <c:pt idx="15">
                  <c:v>474982.51969470218</c:v>
                </c:pt>
                <c:pt idx="16">
                  <c:v>503475.05268745276</c:v>
                </c:pt>
                <c:pt idx="17">
                  <c:v>532237.86377945787</c:v>
                </c:pt>
                <c:pt idx="18">
                  <c:v>561281.87560454442</c:v>
                </c:pt>
                <c:pt idx="19">
                  <c:v>590618.49937168544</c:v>
                </c:pt>
                <c:pt idx="20">
                  <c:v>620259.65710429824</c:v>
                </c:pt>
                <c:pt idx="21">
                  <c:v>650217.80489474186</c:v>
                </c:pt>
                <c:pt idx="22">
                  <c:v>680505.95722037624</c:v>
                </c:pt>
                <c:pt idx="23">
                  <c:v>711137.71236966713</c:v>
                </c:pt>
                <c:pt idx="24">
                  <c:v>742127.27902903187</c:v>
                </c:pt>
                <c:pt idx="25">
                  <c:v>773489.50408343947</c:v>
                </c:pt>
                <c:pt idx="26">
                  <c:v>805239.90168619715</c:v>
                </c:pt>
                <c:pt idx="27">
                  <c:v>837394.68365588924</c:v>
                </c:pt>
                <c:pt idx="28">
                  <c:v>869970.791261081</c:v>
                </c:pt>
                <c:pt idx="29">
                  <c:v>902985.92845616885</c:v>
                </c:pt>
                <c:pt idx="30">
                  <c:v>915037.90817472106</c:v>
                </c:pt>
                <c:pt idx="31">
                  <c:v>925584.0296857768</c:v>
                </c:pt>
                <c:pt idx="32">
                  <c:v>936591.59219962126</c:v>
                </c:pt>
                <c:pt idx="33">
                  <c:v>948081.46945513284</c:v>
                </c:pt>
                <c:pt idx="34">
                  <c:v>960075.48657123395</c:v>
                </c:pt>
                <c:pt idx="35">
                  <c:v>972596.46348079434</c:v>
                </c:pt>
                <c:pt idx="36">
                  <c:v>985668.2603481703</c:v>
                </c:pt>
                <c:pt idx="37">
                  <c:v>999315.82506097865</c:v>
                </c:pt>
                <c:pt idx="38">
                  <c:v>1013565.2428908451</c:v>
                </c:pt>
                <c:pt idx="39">
                  <c:v>1028443.7884221913</c:v>
                </c:pt>
                <c:pt idx="40">
                  <c:v>1043979.9798526523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70-4453-ADEF-03F8C07A41C2}"/>
            </c:ext>
          </c:extLst>
        </c:ser>
        <c:ser>
          <c:idx val="1"/>
          <c:order val="1"/>
          <c:tx>
            <c:strRef>
              <c:f>'Flujos Anuales'!$E$8</c:f>
              <c:strCache>
                <c:ptCount val="1"/>
                <c:pt idx="0">
                  <c:v>Home Value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Anuales'!$E$9:$E$49</c:f>
              <c:numCache>
                <c:formatCode>_("$"* #,##0.00_);_("$"* \(#,##0.00\);_("$"* "-"??_);_(@_)</c:formatCode>
                <c:ptCount val="41"/>
                <c:pt idx="0">
                  <c:v>249900</c:v>
                </c:pt>
                <c:pt idx="1">
                  <c:v>261314.14883766472</c:v>
                </c:pt>
                <c:pt idx="2">
                  <c:v>273249.63738596713</c:v>
                </c:pt>
                <c:pt idx="3">
                  <c:v>285730.27776596451</c:v>
                </c:pt>
                <c:pt idx="4">
                  <c:v>298780.96971413575</c:v>
                </c:pt>
                <c:pt idx="5">
                  <c:v>312427.75025906949</c:v>
                </c:pt>
                <c:pt idx="6">
                  <c:v>326697.84566712781</c:v>
                </c:pt>
                <c:pt idx="7">
                  <c:v>341619.72576072125</c:v>
                </c:pt>
                <c:pt idx="8">
                  <c:v>357223.16071756434</c:v>
                </c:pt>
                <c:pt idx="9">
                  <c:v>373539.28046422818</c:v>
                </c:pt>
                <c:pt idx="10">
                  <c:v>390600.63678248704</c:v>
                </c:pt>
                <c:pt idx="11">
                  <c:v>408441.26825236261</c:v>
                </c:pt>
                <c:pt idx="12">
                  <c:v>427096.76816143439</c:v>
                </c:pt>
                <c:pt idx="13">
                  <c:v>446604.35551589687</c:v>
                </c:pt>
                <c:pt idx="14">
                  <c:v>467002.9492950397</c:v>
                </c:pt>
                <c:pt idx="15">
                  <c:v>488333.24609728839</c:v>
                </c:pt>
                <c:pt idx="16">
                  <c:v>510637.80133272021</c:v>
                </c:pt>
                <c:pt idx="17">
                  <c:v>533961.11412403488</c:v>
                </c:pt>
                <c:pt idx="18">
                  <c:v>558349.71608536749</c:v>
                </c:pt>
                <c:pt idx="19">
                  <c:v>583852.26415606064</c:v>
                </c:pt>
                <c:pt idx="20">
                  <c:v>610519.63767460722</c:v>
                </c:pt>
                <c:pt idx="21">
                  <c:v>638405.03988643235</c:v>
                </c:pt>
                <c:pt idx="22">
                  <c:v>667564.10408802913</c:v>
                </c:pt>
                <c:pt idx="23">
                  <c:v>698055.00461921375</c:v>
                </c:pt>
                <c:pt idx="24">
                  <c:v>729938.57292493794</c:v>
                </c:pt>
                <c:pt idx="25">
                  <c:v>763278.41891820647</c:v>
                </c:pt>
                <c:pt idx="26">
                  <c:v>798141.05788623297</c:v>
                </c:pt>
                <c:pt idx="27">
                  <c:v>834596.04319301411</c:v>
                </c:pt>
                <c:pt idx="28">
                  <c:v>872716.10504307877</c:v>
                </c:pt>
                <c:pt idx="29">
                  <c:v>912577.29558324965</c:v>
                </c:pt>
                <c:pt idx="30">
                  <c:v>954259.14063191228</c:v>
                </c:pt>
                <c:pt idx="31">
                  <c:v>997844.79833849333</c:v>
                </c:pt>
                <c:pt idx="32">
                  <c:v>1043421.2250896943</c:v>
                </c:pt>
                <c:pt idx="33">
                  <c:v>1091079.3489934646</c:v>
                </c:pt>
                <c:pt idx="34">
                  <c:v>1140914.251286837</c:v>
                </c:pt>
                <c:pt idx="35">
                  <c:v>1193025.356029537</c:v>
                </c:pt>
                <c:pt idx="36">
                  <c:v>1247516.6284618264</c:v>
                </c:pt>
                <c:pt idx="37">
                  <c:v>1304496.7824223104</c:v>
                </c:pt>
                <c:pt idx="38">
                  <c:v>1364079.4972395292</c:v>
                </c:pt>
                <c:pt idx="39">
                  <c:v>1426383.6445300407</c:v>
                </c:pt>
                <c:pt idx="40">
                  <c:v>1491533.5253554769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70-4453-ADEF-03F8C07A41C2}"/>
            </c:ext>
          </c:extLst>
        </c:ser>
        <c:ser>
          <c:idx val="2"/>
          <c:order val="2"/>
          <c:tx>
            <c:strRef>
              <c:f>'Flujos Anuales'!$G$8</c:f>
              <c:strCache>
                <c:ptCount val="1"/>
                <c:pt idx="0">
                  <c:v>Home Equity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'Flujos Anuales'!$B$9:$B$49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'Flujos Anuales'!$G$9:$G$49</c:f>
              <c:numCache>
                <c:formatCode>_("$"* #,##0.00_);_("$"* \(#,##0.00\);_("$"* "-"??_);_(@_)</c:formatCode>
                <c:ptCount val="41"/>
                <c:pt idx="0">
                  <c:v>23859.58208144817</c:v>
                </c:pt>
                <c:pt idx="1">
                  <c:v>37744.5202030488</c:v>
                </c:pt>
                <c:pt idx="2">
                  <c:v>52329.411592401564</c:v>
                </c:pt>
                <c:pt idx="3">
                  <c:v>67650.980359049601</c:v>
                </c:pt>
                <c:pt idx="4">
                  <c:v>83747.97163664925</c:v>
                </c:pt>
                <c:pt idx="5">
                  <c:v>100661.26873584808</c:v>
                </c:pt>
                <c:pt idx="6">
                  <c:v>118434.01744399749</c:v>
                </c:pt>
                <c:pt idx="7">
                  <c:v>137111.75792795702</c:v>
                </c:pt>
                <c:pt idx="8">
                  <c:v>156742.56472647045</c:v>
                </c:pt>
                <c:pt idx="9">
                  <c:v>177377.19535087713</c:v>
                </c:pt>
                <c:pt idx="10">
                  <c:v>199069.24804740935</c:v>
                </c:pt>
                <c:pt idx="11">
                  <c:v>221875.32931116442</c:v>
                </c:pt>
                <c:pt idx="12">
                  <c:v>245855.23178120272</c:v>
                </c:pt>
                <c:pt idx="13">
                  <c:v>271072.1231882752</c:v>
                </c:pt>
                <c:pt idx="14">
                  <c:v>297592.74707162404</c:v>
                </c:pt>
                <c:pt idx="15">
                  <c:v>325487.63602931617</c:v>
                </c:pt>
                <c:pt idx="16">
                  <c:v>354831.33831789659</c:v>
                </c:pt>
                <c:pt idx="17">
                  <c:v>385702.65867199091</c:v>
                </c:pt>
                <c:pt idx="18">
                  <c:v>418184.91427312</c:v>
                </c:pt>
                <c:pt idx="19">
                  <c:v>452366.20685965288</c:v>
                </c:pt>
                <c:pt idx="20">
                  <c:v>488339.71203681978</c:v>
                </c:pt>
                <c:pt idx="21">
                  <c:v>526203.98691732576</c:v>
                </c:pt>
                <c:pt idx="22">
                  <c:v>566063.29729967634</c:v>
                </c:pt>
                <c:pt idx="23">
                  <c:v>608027.96567320311</c:v>
                </c:pt>
                <c:pt idx="24">
                  <c:v>652214.74142631795</c:v>
                </c:pt>
                <c:pt idx="25">
                  <c:v>698747.19472814025</c:v>
                </c:pt>
                <c:pt idx="26">
                  <c:v>747756.13565376028</c:v>
                </c:pt>
                <c:pt idx="27">
                  <c:v>799380.06023046619</c:v>
                </c:pt>
                <c:pt idx="28">
                  <c:v>853765.62519678182</c:v>
                </c:pt>
                <c:pt idx="29">
                  <c:v>911068.1533886448</c:v>
                </c:pt>
                <c:pt idx="30">
                  <c:v>954259.14063191228</c:v>
                </c:pt>
                <c:pt idx="31">
                  <c:v>997844.79833849333</c:v>
                </c:pt>
                <c:pt idx="32">
                  <c:v>1043421.2250896943</c:v>
                </c:pt>
                <c:pt idx="33">
                  <c:v>1091079.3489934646</c:v>
                </c:pt>
                <c:pt idx="34">
                  <c:v>1140914.251286837</c:v>
                </c:pt>
                <c:pt idx="35">
                  <c:v>1193025.356029537</c:v>
                </c:pt>
                <c:pt idx="36">
                  <c:v>1247516.6284618264</c:v>
                </c:pt>
                <c:pt idx="37">
                  <c:v>1304496.7824223104</c:v>
                </c:pt>
                <c:pt idx="38">
                  <c:v>1364079.4972395292</c:v>
                </c:pt>
                <c:pt idx="39">
                  <c:v>1426383.6445300407</c:v>
                </c:pt>
                <c:pt idx="40">
                  <c:v>1491533.5253554769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70-4453-ADEF-03F8C07A4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4482608"/>
        <c:axId val="1104483568"/>
      </c:lineChart>
      <c:catAx>
        <c:axId val="110448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3568"/>
        <c:crosses val="autoZero"/>
        <c:auto val="1"/>
        <c:lblAlgn val="ctr"/>
        <c:lblOffset val="100"/>
        <c:noMultiLvlLbl val="0"/>
      </c:catAx>
      <c:valAx>
        <c:axId val="11044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48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458986745281807"/>
          <c:y val="0.85586216851742858"/>
          <c:w val="0.7572181565105599"/>
          <c:h val="0.110329086596085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'Property Tax Zillow'!$D$5</c:f>
              <c:strCache>
                <c:ptCount val="1"/>
                <c:pt idx="0">
                  <c:v>Propery Tax Annual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Logaritmica</c:nam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og"/>
            <c:forward val="2"/>
            <c:dispRSqr val="0"/>
            <c:dispEq val="1"/>
            <c:trendlineLbl>
              <c:layout>
                <c:manualLayout>
                  <c:x val="2.1767279090113734E-3"/>
                  <c:y val="0.195341993541129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name>Lineal</c:nam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2.0026913969507298E-2"/>
                  <c:y val="0.313262950014939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forward val="2"/>
            <c:dispRSqr val="0"/>
            <c:dispEq val="1"/>
            <c:trendlineLbl>
              <c:layout>
                <c:manualLayout>
                  <c:x val="-5.8445298261946652E-2"/>
                  <c:y val="0.243495868539265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00B0F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'Property Tax Zillow'!$C$6:$C$12</c:f>
              <c:numCache>
                <c:formatCode>General</c:formatCod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'Property Tax Zillow'!$D$6:$D$12</c:f>
              <c:numCache>
                <c:formatCode>_("$"* #,##0.00_);_("$"* \(#,##0.00\);_("$"* "-"??_);_(@_)</c:formatCode>
                <c:ptCount val="7"/>
                <c:pt idx="0">
                  <c:v>2069</c:v>
                </c:pt>
                <c:pt idx="1">
                  <c:v>3733</c:v>
                </c:pt>
                <c:pt idx="2">
                  <c:v>7012</c:v>
                </c:pt>
                <c:pt idx="3">
                  <c:v>2847</c:v>
                </c:pt>
                <c:pt idx="4">
                  <c:v>2847</c:v>
                </c:pt>
                <c:pt idx="5">
                  <c:v>4865</c:v>
                </c:pt>
                <c:pt idx="6">
                  <c:v>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31-4576-A635-E084A726909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80715104"/>
        <c:axId val="1680715584"/>
      </c:lineChart>
      <c:catAx>
        <c:axId val="168071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15584"/>
        <c:crosses val="autoZero"/>
        <c:auto val="1"/>
        <c:lblAlgn val="ctr"/>
        <c:lblOffset val="100"/>
        <c:noMultiLvlLbl val="0"/>
      </c:catAx>
      <c:valAx>
        <c:axId val="168071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1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Plusvalia!$D$10</c:f>
              <c:strCache>
                <c:ptCount val="1"/>
                <c:pt idx="0">
                  <c:v>Plusvalia Estimada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Plusvalia!$C$11:$C$41</c:f>
              <c:numCache>
                <c:formatCode>General</c:formatCode>
                <c:ptCount val="31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</c:numCache>
            </c:numRef>
          </c:cat>
          <c:val>
            <c:numRef>
              <c:f>Plusvalia!$D$11:$D$41</c:f>
              <c:numCache>
                <c:formatCode>_("$"* #,##0_);_("$"* \(#,##0\);_("$"* "-"??_);_(@_)</c:formatCode>
                <c:ptCount val="31"/>
                <c:pt idx="0">
                  <c:v>249900</c:v>
                </c:pt>
                <c:pt idx="1">
                  <c:v>261314.14883766472</c:v>
                </c:pt>
                <c:pt idx="2">
                  <c:v>273249.63738596713</c:v>
                </c:pt>
                <c:pt idx="3">
                  <c:v>285730.27776596451</c:v>
                </c:pt>
                <c:pt idx="4">
                  <c:v>298780.96971413575</c:v>
                </c:pt>
                <c:pt idx="5">
                  <c:v>312427.75025906949</c:v>
                </c:pt>
                <c:pt idx="6">
                  <c:v>326697.84566712781</c:v>
                </c:pt>
                <c:pt idx="7">
                  <c:v>341619.72576072125</c:v>
                </c:pt>
                <c:pt idx="8">
                  <c:v>357223.16071756434</c:v>
                </c:pt>
                <c:pt idx="9">
                  <c:v>373539.28046422818</c:v>
                </c:pt>
                <c:pt idx="10">
                  <c:v>390600.63678248704</c:v>
                </c:pt>
                <c:pt idx="11">
                  <c:v>408441.26825236261</c:v>
                </c:pt>
                <c:pt idx="12">
                  <c:v>427096.76816143439</c:v>
                </c:pt>
                <c:pt idx="13">
                  <c:v>446604.35551589687</c:v>
                </c:pt>
                <c:pt idx="14">
                  <c:v>467002.9492950397</c:v>
                </c:pt>
                <c:pt idx="15">
                  <c:v>488333.24609728839</c:v>
                </c:pt>
                <c:pt idx="16">
                  <c:v>510637.80133272021</c:v>
                </c:pt>
                <c:pt idx="17">
                  <c:v>533961.11412403488</c:v>
                </c:pt>
                <c:pt idx="18">
                  <c:v>558349.71608536749</c:v>
                </c:pt>
                <c:pt idx="19">
                  <c:v>583852.26415606064</c:v>
                </c:pt>
                <c:pt idx="20">
                  <c:v>610519.63767460722</c:v>
                </c:pt>
                <c:pt idx="21">
                  <c:v>638405.03988643235</c:v>
                </c:pt>
                <c:pt idx="22">
                  <c:v>667564.10408802913</c:v>
                </c:pt>
                <c:pt idx="23">
                  <c:v>698055.00461921375</c:v>
                </c:pt>
                <c:pt idx="24">
                  <c:v>729938.57292493794</c:v>
                </c:pt>
                <c:pt idx="25">
                  <c:v>763278.41891820647</c:v>
                </c:pt>
                <c:pt idx="26">
                  <c:v>798141.05788623297</c:v>
                </c:pt>
                <c:pt idx="27">
                  <c:v>834596.04319301411</c:v>
                </c:pt>
                <c:pt idx="28">
                  <c:v>872716.10504307877</c:v>
                </c:pt>
                <c:pt idx="29">
                  <c:v>912577.29558324965</c:v>
                </c:pt>
                <c:pt idx="30">
                  <c:v>954259.14063191228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82-4639-9AB8-D97CA3FC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9740064"/>
        <c:axId val="829726144"/>
      </c:lineChart>
      <c:catAx>
        <c:axId val="82974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26144"/>
        <c:crosses val="autoZero"/>
        <c:auto val="1"/>
        <c:lblAlgn val="ctr"/>
        <c:lblOffset val="100"/>
        <c:noMultiLvlLbl val="0"/>
      </c:catAx>
      <c:valAx>
        <c:axId val="82972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74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Opciones de Inversion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'Opciones de Inversion'!$H$12</c:f>
              <c:strCache>
                <c:ptCount val="1"/>
                <c:pt idx="0">
                  <c:v>Invertir
100%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'Opciones de Inversion'!$H$13:$H$43</c:f>
              <c:numCache>
                <c:formatCode>_("$"* #,##0.00_);_("$"* \(#,##0.00\);_("$"* "-"??_);_(@_)</c:formatCode>
                <c:ptCount val="31"/>
                <c:pt idx="0">
                  <c:v>70411.103930489669</c:v>
                </c:pt>
                <c:pt idx="1">
                  <c:v>104203.0834465532</c:v>
                </c:pt>
                <c:pt idx="2">
                  <c:v>138244.11851972519</c:v>
                </c:pt>
                <c:pt idx="3">
                  <c:v>174536.20570435538</c:v>
                </c:pt>
                <c:pt idx="4">
                  <c:v>213750.7125302463</c:v>
                </c:pt>
                <c:pt idx="5">
                  <c:v>256115.94878332154</c:v>
                </c:pt>
                <c:pt idx="6">
                  <c:v>301877.84987318789</c:v>
                </c:pt>
                <c:pt idx="7">
                  <c:v>351301.32882992289</c:v>
                </c:pt>
                <c:pt idx="8">
                  <c:v>404671.73162071849</c:v>
                </c:pt>
                <c:pt idx="9">
                  <c:v>462296.40366463549</c:v>
                </c:pt>
                <c:pt idx="10">
                  <c:v>524506.37602365203</c:v>
                </c:pt>
                <c:pt idx="11">
                  <c:v>591658.1803937736</c:v>
                </c:pt>
                <c:pt idx="12">
                  <c:v>664135.80271467275</c:v>
                </c:pt>
                <c:pt idx="13">
                  <c:v>742352.78596388479</c:v>
                </c:pt>
                <c:pt idx="14">
                  <c:v>826754.49350602052</c:v>
                </c:pt>
                <c:pt idx="15">
                  <c:v>917820.54523309483</c:v>
                </c:pt>
                <c:pt idx="16">
                  <c:v>1016067.4396635606</c:v>
                </c:pt>
                <c:pt idx="17">
                  <c:v>1122051.3761699963</c:v>
                </c:pt>
                <c:pt idx="18">
                  <c:v>1236371.2925840027</c:v>
                </c:pt>
                <c:pt idx="19">
                  <c:v>1359672.134587528</c:v>
                </c:pt>
                <c:pt idx="20">
                  <c:v>1492648.3745487931</c:v>
                </c:pt>
                <c:pt idx="21">
                  <c:v>1636047.7988049451</c:v>
                </c:pt>
                <c:pt idx="22">
                  <c:v>1790675.5838397555</c:v>
                </c:pt>
                <c:pt idx="23">
                  <c:v>1957398.6833608679</c:v>
                </c:pt>
                <c:pt idx="24">
                  <c:v>2137150.5499556586</c:v>
                </c:pt>
                <c:pt idx="25">
                  <c:v>2330936.2168066963</c:v>
                </c:pt>
                <c:pt idx="26">
                  <c:v>2539837.7668867633</c:v>
                </c:pt>
                <c:pt idx="27">
                  <c:v>2765020.2191398498</c:v>
                </c:pt>
                <c:pt idx="28">
                  <c:v>3007737.8633996705</c:v>
                </c:pt>
                <c:pt idx="29">
                  <c:v>3269341.0782131334</c:v>
                </c:pt>
                <c:pt idx="30">
                  <c:v>3529862.9798758836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4-410E-95F8-5D81B673FE17}"/>
            </c:ext>
          </c:extLst>
        </c:ser>
        <c:ser>
          <c:idx val="1"/>
          <c:order val="1"/>
          <c:tx>
            <c:strRef>
              <c:f>'Opciones de Inversion'!$E$12</c:f>
              <c:strCache>
                <c:ptCount val="1"/>
                <c:pt idx="0">
                  <c:v>Home Equity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'Opciones de Inversion'!$E$13:$E$43</c:f>
              <c:numCache>
                <c:formatCode>_("$"* #,##0.00_);_("$"* \(#,##0.00\);_("$"* "-"??_);_(@_)</c:formatCode>
                <c:ptCount val="31"/>
                <c:pt idx="0">
                  <c:v>23859.58208144817</c:v>
                </c:pt>
                <c:pt idx="1">
                  <c:v>37744.5202030488</c:v>
                </c:pt>
                <c:pt idx="2">
                  <c:v>52329.411592401564</c:v>
                </c:pt>
                <c:pt idx="3">
                  <c:v>67650.980359049601</c:v>
                </c:pt>
                <c:pt idx="4">
                  <c:v>83747.97163664925</c:v>
                </c:pt>
                <c:pt idx="5">
                  <c:v>100661.26873584808</c:v>
                </c:pt>
                <c:pt idx="6">
                  <c:v>118434.01744399749</c:v>
                </c:pt>
                <c:pt idx="7">
                  <c:v>137111.75792795702</c:v>
                </c:pt>
                <c:pt idx="8">
                  <c:v>156742.56472647045</c:v>
                </c:pt>
                <c:pt idx="9">
                  <c:v>177377.19535087713</c:v>
                </c:pt>
                <c:pt idx="10">
                  <c:v>199069.24804740935</c:v>
                </c:pt>
                <c:pt idx="11">
                  <c:v>221875.32931116442</c:v>
                </c:pt>
                <c:pt idx="12">
                  <c:v>245855.23178120272</c:v>
                </c:pt>
                <c:pt idx="13">
                  <c:v>271072.1231882752</c:v>
                </c:pt>
                <c:pt idx="14">
                  <c:v>297592.74707162404</c:v>
                </c:pt>
                <c:pt idx="15">
                  <c:v>325487.63602931617</c:v>
                </c:pt>
                <c:pt idx="16">
                  <c:v>354831.33831789659</c:v>
                </c:pt>
                <c:pt idx="17">
                  <c:v>385702.65867199091</c:v>
                </c:pt>
                <c:pt idx="18">
                  <c:v>418184.91427312</c:v>
                </c:pt>
                <c:pt idx="19">
                  <c:v>452366.20685965288</c:v>
                </c:pt>
                <c:pt idx="20">
                  <c:v>488339.71203681978</c:v>
                </c:pt>
                <c:pt idx="21">
                  <c:v>526203.98691732576</c:v>
                </c:pt>
                <c:pt idx="22">
                  <c:v>566063.29729967634</c:v>
                </c:pt>
                <c:pt idx="23">
                  <c:v>608027.96567320311</c:v>
                </c:pt>
                <c:pt idx="24">
                  <c:v>652214.74142631795</c:v>
                </c:pt>
                <c:pt idx="25">
                  <c:v>698747.19472814025</c:v>
                </c:pt>
                <c:pt idx="26">
                  <c:v>747756.13565376028</c:v>
                </c:pt>
                <c:pt idx="27">
                  <c:v>799380.06023046619</c:v>
                </c:pt>
                <c:pt idx="28">
                  <c:v>853765.62519678182</c:v>
                </c:pt>
                <c:pt idx="29">
                  <c:v>911068.1533886448</c:v>
                </c:pt>
                <c:pt idx="30">
                  <c:v>954259.14063191228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4-410E-95F8-5D81B673FE17}"/>
            </c:ext>
          </c:extLst>
        </c:ser>
        <c:ser>
          <c:idx val="2"/>
          <c:order val="2"/>
          <c:tx>
            <c:strRef>
              <c:f>'Opciones de Inversion'!$M$12</c:f>
              <c:strCache>
                <c:ptCount val="1"/>
                <c:pt idx="0">
                  <c:v>Rentar e
Invertir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5000"/>
                </a:schemeClr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val>
            <c:numRef>
              <c:f>'Opciones de Inversion'!$M$13:$M$43</c:f>
              <c:numCache>
                <c:formatCode>_("$"* #,##0.00_);_("$"* \(#,##0.00\);_("$"* "-"??_);_(@_)</c:formatCode>
                <c:ptCount val="31"/>
                <c:pt idx="0">
                  <c:v>54811.103930489669</c:v>
                </c:pt>
                <c:pt idx="1">
                  <c:v>71349.483446553189</c:v>
                </c:pt>
                <c:pt idx="2">
                  <c:v>86343.6049197252</c:v>
                </c:pt>
                <c:pt idx="3">
                  <c:v>101644.71187075539</c:v>
                </c:pt>
                <c:pt idx="4">
                  <c:v>117761.52772929272</c:v>
                </c:pt>
                <c:pt idx="5">
                  <c:v>134746.91037841549</c:v>
                </c:pt>
                <c:pt idx="6">
                  <c:v>152657.5487236566</c:v>
                </c:pt>
                <c:pt idx="7">
                  <c:v>171554.25249239919</c:v>
                </c:pt>
                <c:pt idx="8">
                  <c:v>191502.2642118962</c:v>
                </c:pt>
                <c:pt idx="9">
                  <c:v>212571.59506500646</c:v>
                </c:pt>
                <c:pt idx="10">
                  <c:v>234837.38645268281</c:v>
                </c:pt>
                <c:pt idx="11">
                  <c:v>258380.29923210933</c:v>
                </c:pt>
                <c:pt idx="12">
                  <c:v>283286.93274992163</c:v>
                </c:pt>
                <c:pt idx="13">
                  <c:v>309650.27595196816</c:v>
                </c:pt>
                <c:pt idx="14">
                  <c:v>337570.19302545843</c:v>
                </c:pt>
                <c:pt idx="15">
                  <c:v>367153.94621703797</c:v>
                </c:pt>
                <c:pt idx="16">
                  <c:v>398516.75867234234</c:v>
                </c:pt>
                <c:pt idx="17">
                  <c:v>431782.42036000616</c:v>
                </c:pt>
                <c:pt idx="18">
                  <c:v>467083.94037711073</c:v>
                </c:pt>
                <c:pt idx="19">
                  <c:v>504564.24918490939</c:v>
                </c:pt>
                <c:pt idx="20">
                  <c:v>544376.9545947325</c:v>
                </c:pt>
                <c:pt idx="21">
                  <c:v>586687.15561570763</c:v>
                </c:pt>
                <c:pt idx="22">
                  <c:v>631672.31858990772</c:v>
                </c:pt>
                <c:pt idx="23">
                  <c:v>679679.41480274079</c:v>
                </c:pt>
                <c:pt idx="24">
                  <c:v>731335.05032774911</c:v>
                </c:pt>
                <c:pt idx="25">
                  <c:v>786916.51415265806</c:v>
                </c:pt>
                <c:pt idx="26">
                  <c:v>846722.16922826017</c:v>
                </c:pt>
                <c:pt idx="27">
                  <c:v>911073.05408960802</c:v>
                </c:pt>
                <c:pt idx="28">
                  <c:v>980314.60620041832</c:v>
                </c:pt>
                <c:pt idx="29">
                  <c:v>1054818.5162716501</c:v>
                </c:pt>
                <c:pt idx="30">
                  <c:v>1134984.7235082956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C4-410E-95F8-5D81B673F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7582208"/>
        <c:axId val="1847582688"/>
      </c:lineChart>
      <c:catAx>
        <c:axId val="184758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82688"/>
        <c:crosses val="autoZero"/>
        <c:auto val="1"/>
        <c:lblAlgn val="ctr"/>
        <c:lblOffset val="100"/>
        <c:noMultiLvlLbl val="0"/>
      </c:catAx>
      <c:valAx>
        <c:axId val="184758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8220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6">
          <a:satMod val="175000"/>
          <a:alpha val="40000"/>
        </a:schemeClr>
      </a:glow>
      <a:outerShdw blurRad="50800" dist="38100" dir="10800000" algn="r" rotWithShape="0">
        <a:prstClr val="black">
          <a:alpha val="40000"/>
        </a:prstClr>
      </a:outerShdw>
    </a:effectLst>
    <a:scene3d>
      <a:camera prst="orthographicFront"/>
      <a:lightRig rig="threePt" dir="t"/>
    </a:scene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31" fmlaLink="$F$13" max="200" page="10" val="140"/>
</file>

<file path=xl/ctrlProps/ctrlProp2.xml><?xml version="1.0" encoding="utf-8"?>
<formControlPr xmlns="http://schemas.microsoft.com/office/spreadsheetml/2009/9/main" objectType="Spin" dx="31" fmlaLink="$D$11" max="50" page="10" val="30"/>
</file>

<file path=xl/ctrlProps/ctrlProp3.xml><?xml version="1.0" encoding="utf-8"?>
<formControlPr xmlns="http://schemas.microsoft.com/office/spreadsheetml/2009/9/main" objectType="Spin" dx="31" fmlaLink="$F$19" max="100" page="10" val="17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11</xdr:row>
          <xdr:rowOff>127000</xdr:rowOff>
        </xdr:from>
        <xdr:to>
          <xdr:col>6</xdr:col>
          <xdr:colOff>12700</xdr:colOff>
          <xdr:row>14</xdr:row>
          <xdr:rowOff>38100</xdr:rowOff>
        </xdr:to>
        <xdr:sp macro="" textlink="">
          <xdr:nvSpPr>
            <xdr:cNvPr id="6148" name="Spinner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0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8</xdr:row>
          <xdr:rowOff>123825</xdr:rowOff>
        </xdr:from>
        <xdr:to>
          <xdr:col>6</xdr:col>
          <xdr:colOff>9525</xdr:colOff>
          <xdr:row>11</xdr:row>
          <xdr:rowOff>9525</xdr:rowOff>
        </xdr:to>
        <xdr:sp macro="" textlink="">
          <xdr:nvSpPr>
            <xdr:cNvPr id="6149" name="Spinner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0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76199</xdr:colOff>
          <xdr:row>17</xdr:row>
          <xdr:rowOff>66675</xdr:rowOff>
        </xdr:from>
        <xdr:to>
          <xdr:col>6</xdr:col>
          <xdr:colOff>9524</xdr:colOff>
          <xdr:row>20</xdr:row>
          <xdr:rowOff>0</xdr:rowOff>
        </xdr:to>
        <xdr:sp macro="" textlink="">
          <xdr:nvSpPr>
            <xdr:cNvPr id="6150" name="Spinner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0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17</xdr:col>
      <xdr:colOff>220889</xdr:colOff>
      <xdr:row>37</xdr:row>
      <xdr:rowOff>158750</xdr:rowOff>
    </xdr:from>
    <xdr:to>
      <xdr:col>26</xdr:col>
      <xdr:colOff>571500</xdr:colOff>
      <xdr:row>54</xdr:row>
      <xdr:rowOff>6350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C383299-C45D-20BF-CB30-2E84F115F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220888</xdr:colOff>
      <xdr:row>1</xdr:row>
      <xdr:rowOff>75292</xdr:rowOff>
    </xdr:from>
    <xdr:to>
      <xdr:col>26</xdr:col>
      <xdr:colOff>542924</xdr:colOff>
      <xdr:row>20</xdr:row>
      <xdr:rowOff>149225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24BAC6C4-92E2-47F5-BF46-833507710A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220888</xdr:colOff>
      <xdr:row>21</xdr:row>
      <xdr:rowOff>120650</xdr:rowOff>
    </xdr:from>
    <xdr:to>
      <xdr:col>26</xdr:col>
      <xdr:colOff>561974</xdr:colOff>
      <xdr:row>37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C84570-121E-4FDA-9033-36FF6B52D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209550</xdr:colOff>
      <xdr:row>54</xdr:row>
      <xdr:rowOff>133352</xdr:rowOff>
    </xdr:from>
    <xdr:to>
      <xdr:col>26</xdr:col>
      <xdr:colOff>561975</xdr:colOff>
      <xdr:row>75</xdr:row>
      <xdr:rowOff>47626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4A2BF6-BF04-4701-AEC3-8754971E56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28575</xdr:colOff>
      <xdr:row>12</xdr:row>
      <xdr:rowOff>92075</xdr:rowOff>
    </xdr:from>
    <xdr:to>
      <xdr:col>5</xdr:col>
      <xdr:colOff>47625</xdr:colOff>
      <xdr:row>12</xdr:row>
      <xdr:rowOff>92075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667BEC91-014F-0D1A-D98B-D6F35AC0ADF7}"/>
            </a:ext>
          </a:extLst>
        </xdr:cNvPr>
        <xdr:cNvCxnSpPr/>
      </xdr:nvCxnSpPr>
      <xdr:spPr>
        <a:xfrm flipH="1">
          <a:off x="3733800" y="1968500"/>
          <a:ext cx="9334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15875</xdr:colOff>
      <xdr:row>10</xdr:row>
      <xdr:rowOff>63500</xdr:rowOff>
    </xdr:from>
    <xdr:to>
      <xdr:col>5</xdr:col>
      <xdr:colOff>34925</xdr:colOff>
      <xdr:row>10</xdr:row>
      <xdr:rowOff>63500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C1859CD-49D5-47BE-9B09-ACC0145BDB1D}"/>
            </a:ext>
          </a:extLst>
        </xdr:cNvPr>
        <xdr:cNvCxnSpPr/>
      </xdr:nvCxnSpPr>
      <xdr:spPr>
        <a:xfrm flipH="1">
          <a:off x="3721100" y="1625600"/>
          <a:ext cx="9334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106083</xdr:colOff>
      <xdr:row>12</xdr:row>
      <xdr:rowOff>21662</xdr:rowOff>
    </xdr:from>
    <xdr:to>
      <xdr:col>21</xdr:col>
      <xdr:colOff>3030444</xdr:colOff>
      <xdr:row>36</xdr:row>
      <xdr:rowOff>112059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592DA1A-D555-3EC2-C828-0BFB3FE83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1</xdr:row>
      <xdr:rowOff>47625</xdr:rowOff>
    </xdr:from>
    <xdr:to>
      <xdr:col>24</xdr:col>
      <xdr:colOff>44450</xdr:colOff>
      <xdr:row>3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342205-BE6F-3A1A-32FC-5000308B8091}"/>
            </a:ext>
          </a:extLst>
        </xdr:cNvPr>
        <xdr:cNvSpPr txBox="1"/>
      </xdr:nvSpPr>
      <xdr:spPr>
        <a:xfrm>
          <a:off x="552449" y="133350"/>
          <a:ext cx="14798676" cy="320675"/>
        </a:xfrm>
        <a:prstGeom prst="rect">
          <a:avLst/>
        </a:prstGeom>
        <a:solidFill>
          <a:schemeClr val="accent5">
            <a:lumMod val="50000"/>
          </a:schemeClr>
        </a:solidFill>
        <a:ln w="2857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bg1"/>
              </a:solidFill>
              <a:latin typeface="Abadi" panose="020B0604020104020204" pitchFamily="34" charset="0"/>
            </a:rPr>
            <a:t>Flujos de Efectivo Anuales y Valor Presente Neto</a:t>
          </a:r>
        </a:p>
      </xdr:txBody>
    </xdr:sp>
    <xdr:clientData/>
  </xdr:twoCellAnchor>
  <xdr:twoCellAnchor>
    <xdr:from>
      <xdr:col>23</xdr:col>
      <xdr:colOff>141754</xdr:colOff>
      <xdr:row>7</xdr:row>
      <xdr:rowOff>30260</xdr:rowOff>
    </xdr:from>
    <xdr:to>
      <xdr:col>41</xdr:col>
      <xdr:colOff>598767</xdr:colOff>
      <xdr:row>27</xdr:row>
      <xdr:rowOff>164911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A2F55-9582-1247-DA83-3F4BBEE81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11206</xdr:colOff>
      <xdr:row>29</xdr:row>
      <xdr:rowOff>44824</xdr:rowOff>
    </xdr:from>
    <xdr:to>
      <xdr:col>42</xdr:col>
      <xdr:colOff>19237</xdr:colOff>
      <xdr:row>48</xdr:row>
      <xdr:rowOff>131296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C96F167A-9DE7-4E57-94C3-77BAEBE290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288924</xdr:colOff>
      <xdr:row>1</xdr:row>
      <xdr:rowOff>106360</xdr:rowOff>
    </xdr:from>
    <xdr:to>
      <xdr:col>17</xdr:col>
      <xdr:colOff>50800</xdr:colOff>
      <xdr:row>21</xdr:row>
      <xdr:rowOff>82549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D7D64-EEC8-4797-B740-5553A35053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17</xdr:col>
      <xdr:colOff>465062</xdr:colOff>
      <xdr:row>34</xdr:row>
      <xdr:rowOff>96102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3C805-D070-8B4B-6FDA-E69AA9CD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31437" cy="6106377"/>
        </a:xfrm>
        <a:prstGeom prst="rect">
          <a:avLst/>
        </a:prstGeom>
      </xdr:spPr>
    </xdr:pic>
    <xdr:clientData/>
  </xdr:twoCellAnchor>
  <xdr:twoCellAnchor>
    <xdr:from>
      <xdr:col>0</xdr:col>
      <xdr:colOff>82550</xdr:colOff>
      <xdr:row>15</xdr:row>
      <xdr:rowOff>63500</xdr:rowOff>
    </xdr:from>
    <xdr:to>
      <xdr:col>15</xdr:col>
      <xdr:colOff>25400</xdr:colOff>
      <xdr:row>16</xdr:row>
      <xdr:rowOff>168275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F4F7C4D-EC06-85F7-8DB6-83B60C1E8459}"/>
            </a:ext>
          </a:extLst>
        </xdr:cNvPr>
        <xdr:cNvSpPr/>
      </xdr:nvSpPr>
      <xdr:spPr>
        <a:xfrm>
          <a:off x="82550" y="2635250"/>
          <a:ext cx="9086850" cy="2857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5</xdr:row>
      <xdr:rowOff>95250</xdr:rowOff>
    </xdr:from>
    <xdr:to>
      <xdr:col>9</xdr:col>
      <xdr:colOff>87943</xdr:colOff>
      <xdr:row>24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31A2FE-911F-7CBA-FDE5-7DD89FA27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9125" y="1724025"/>
          <a:ext cx="5050468" cy="33909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19050</xdr:colOff>
      <xdr:row>24</xdr:row>
      <xdr:rowOff>152400</xdr:rowOff>
    </xdr:from>
    <xdr:to>
      <xdr:col>8</xdr:col>
      <xdr:colOff>370670</xdr:colOff>
      <xdr:row>30</xdr:row>
      <xdr:rowOff>76679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A760AC-C573-CDCB-B2C1-A17BB05F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8650" y="5219700"/>
          <a:ext cx="4717245" cy="101012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561975</xdr:colOff>
      <xdr:row>26</xdr:row>
      <xdr:rowOff>47625</xdr:rowOff>
    </xdr:from>
    <xdr:to>
      <xdr:col>7</xdr:col>
      <xdr:colOff>263525</xdr:colOff>
      <xdr:row>27</xdr:row>
      <xdr:rowOff>73025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6445B7-6021-696E-602D-43063A1470CC}"/>
            </a:ext>
          </a:extLst>
        </xdr:cNvPr>
        <xdr:cNvSpPr/>
      </xdr:nvSpPr>
      <xdr:spPr>
        <a:xfrm>
          <a:off x="4314825" y="4933950"/>
          <a:ext cx="311150" cy="2063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31749</xdr:colOff>
      <xdr:row>12</xdr:row>
      <xdr:rowOff>161926</xdr:rowOff>
    </xdr:from>
    <xdr:to>
      <xdr:col>9</xdr:col>
      <xdr:colOff>38100</xdr:colOff>
      <xdr:row>15</xdr:row>
      <xdr:rowOff>28576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EA9D422-A63D-47B4-AA90-05B2320A5515}"/>
            </a:ext>
          </a:extLst>
        </xdr:cNvPr>
        <xdr:cNvSpPr/>
      </xdr:nvSpPr>
      <xdr:spPr>
        <a:xfrm>
          <a:off x="641349" y="2514601"/>
          <a:ext cx="4978401" cy="4095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0</xdr:colOff>
      <xdr:row>14</xdr:row>
      <xdr:rowOff>73025</xdr:rowOff>
    </xdr:from>
    <xdr:to>
      <xdr:col>24</xdr:col>
      <xdr:colOff>353566</xdr:colOff>
      <xdr:row>58</xdr:row>
      <xdr:rowOff>83663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97D1B7-4475-C528-BF69-FBBA0E131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787650"/>
          <a:ext cx="8170416" cy="79767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16</xdr:col>
      <xdr:colOff>314325</xdr:colOff>
      <xdr:row>54</xdr:row>
      <xdr:rowOff>161925</xdr:rowOff>
    </xdr:from>
    <xdr:to>
      <xdr:col>17</xdr:col>
      <xdr:colOff>171450</xdr:colOff>
      <xdr:row>55</xdr:row>
      <xdr:rowOff>149225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0B9CA76-BAE1-4DDF-9513-FA54955E70AB}"/>
            </a:ext>
          </a:extLst>
        </xdr:cNvPr>
        <xdr:cNvSpPr/>
      </xdr:nvSpPr>
      <xdr:spPr>
        <a:xfrm>
          <a:off x="10572750" y="10115550"/>
          <a:ext cx="466725" cy="168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47625</xdr:colOff>
      <xdr:row>51</xdr:row>
      <xdr:rowOff>34925</xdr:rowOff>
    </xdr:from>
    <xdr:to>
      <xdr:col>17</xdr:col>
      <xdr:colOff>400050</xdr:colOff>
      <xdr:row>53</xdr:row>
      <xdr:rowOff>149225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4ADAE2E-B200-42AF-B0EA-D7026BC7C45C}"/>
            </a:ext>
          </a:extLst>
        </xdr:cNvPr>
        <xdr:cNvSpPr/>
      </xdr:nvSpPr>
      <xdr:spPr>
        <a:xfrm>
          <a:off x="10306050" y="9445625"/>
          <a:ext cx="962025" cy="4762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57150</xdr:colOff>
      <xdr:row>54</xdr:row>
      <xdr:rowOff>9525</xdr:rowOff>
    </xdr:from>
    <xdr:to>
      <xdr:col>12</xdr:col>
      <xdr:colOff>876300</xdr:colOff>
      <xdr:row>55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569F5EA-CD07-4C2E-B9BF-24A25124AC3F}"/>
            </a:ext>
          </a:extLst>
        </xdr:cNvPr>
        <xdr:cNvSpPr/>
      </xdr:nvSpPr>
      <xdr:spPr>
        <a:xfrm>
          <a:off x="7372350" y="9963150"/>
          <a:ext cx="819150" cy="17145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25400</xdr:colOff>
      <xdr:row>14</xdr:row>
      <xdr:rowOff>161925</xdr:rowOff>
    </xdr:from>
    <xdr:to>
      <xdr:col>13</xdr:col>
      <xdr:colOff>273050</xdr:colOff>
      <xdr:row>15</xdr:row>
      <xdr:rowOff>149225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AE6237C4-B6E7-4E36-9F98-06ABBCD2A1E1}"/>
            </a:ext>
          </a:extLst>
        </xdr:cNvPr>
        <xdr:cNvSpPr/>
      </xdr:nvSpPr>
      <xdr:spPr>
        <a:xfrm>
          <a:off x="7340600" y="2876550"/>
          <a:ext cx="1238250" cy="1682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428863</xdr:colOff>
      <xdr:row>0</xdr:row>
      <xdr:rowOff>134456</xdr:rowOff>
    </xdr:from>
    <xdr:to>
      <xdr:col>7</xdr:col>
      <xdr:colOff>1006826</xdr:colOff>
      <xdr:row>10</xdr:row>
      <xdr:rowOff>84134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01ACEF-B295-4471-B114-21173834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5913" y="134456"/>
          <a:ext cx="3619613" cy="176260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303283</xdr:colOff>
      <xdr:row>11</xdr:row>
      <xdr:rowOff>27199</xdr:rowOff>
    </xdr:from>
    <xdr:to>
      <xdr:col>8</xdr:col>
      <xdr:colOff>468465</xdr:colOff>
      <xdr:row>11</xdr:row>
      <xdr:rowOff>218645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B27F1D-953F-4FA9-B5B4-29DF5C6C3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42383" y="2021099"/>
          <a:ext cx="1876507" cy="191446"/>
        </a:xfrm>
        <a:prstGeom prst="rect">
          <a:avLst/>
        </a:prstGeom>
      </xdr:spPr>
    </xdr:pic>
    <xdr:clientData/>
  </xdr:twoCellAnchor>
  <xdr:twoCellAnchor editAs="oneCell">
    <xdr:from>
      <xdr:col>6</xdr:col>
      <xdr:colOff>351046</xdr:colOff>
      <xdr:row>11</xdr:row>
      <xdr:rowOff>266876</xdr:rowOff>
    </xdr:from>
    <xdr:to>
      <xdr:col>8</xdr:col>
      <xdr:colOff>435334</xdr:colOff>
      <xdr:row>11</xdr:row>
      <xdr:rowOff>362105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6659D0-A1EA-4F7E-A28B-66DC6C39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93321" y="2257601"/>
          <a:ext cx="1795613" cy="952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9</xdr:row>
      <xdr:rowOff>76200</xdr:rowOff>
    </xdr:from>
    <xdr:to>
      <xdr:col>16</xdr:col>
      <xdr:colOff>409576</xdr:colOff>
      <xdr:row>26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B752D-598E-A835-0913-5CE68DF67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552449</xdr:colOff>
      <xdr:row>1</xdr:row>
      <xdr:rowOff>47625</xdr:rowOff>
    </xdr:from>
    <xdr:to>
      <xdr:col>15</xdr:col>
      <xdr:colOff>0</xdr:colOff>
      <xdr:row>3</xdr:row>
      <xdr:rowOff>6350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4ABDEF0-DAC4-4A3C-914F-0442BB3D77D7}"/>
            </a:ext>
          </a:extLst>
        </xdr:cNvPr>
        <xdr:cNvSpPr txBox="1"/>
      </xdr:nvSpPr>
      <xdr:spPr>
        <a:xfrm>
          <a:off x="161924" y="130175"/>
          <a:ext cx="15592426" cy="327025"/>
        </a:xfrm>
        <a:prstGeom prst="rect">
          <a:avLst/>
        </a:prstGeom>
        <a:solidFill>
          <a:schemeClr val="accent5">
            <a:lumMod val="50000"/>
          </a:schemeClr>
        </a:solidFill>
        <a:ln w="28575" cmpd="sng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>
              <a:solidFill>
                <a:schemeClr val="bg1"/>
              </a:solidFill>
              <a:latin typeface="Abadi" panose="020B0604020104020204" pitchFamily="34" charset="0"/>
            </a:rPr>
            <a:t>Opciones de Inversion</a:t>
          </a:r>
        </a:p>
      </xdr:txBody>
    </xdr:sp>
    <xdr:clientData/>
  </xdr:twoCellAnchor>
  <xdr:twoCellAnchor>
    <xdr:from>
      <xdr:col>14</xdr:col>
      <xdr:colOff>314325</xdr:colOff>
      <xdr:row>11</xdr:row>
      <xdr:rowOff>38100</xdr:rowOff>
    </xdr:from>
    <xdr:to>
      <xdr:col>22</xdr:col>
      <xdr:colOff>57150</xdr:colOff>
      <xdr:row>31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E36000-B24E-4227-9982-7BD20172F8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57699</xdr:colOff>
      <xdr:row>0</xdr:row>
      <xdr:rowOff>87967</xdr:rowOff>
    </xdr:from>
    <xdr:to>
      <xdr:col>9</xdr:col>
      <xdr:colOff>618867</xdr:colOff>
      <xdr:row>10</xdr:row>
      <xdr:rowOff>59766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BDFC3A-B8D4-ACBA-53CB-5D2C6C7B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1699" y="87967"/>
          <a:ext cx="1969934" cy="183944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57699</xdr:colOff>
      <xdr:row>0</xdr:row>
      <xdr:rowOff>87967</xdr:rowOff>
    </xdr:from>
    <xdr:to>
      <xdr:col>8</xdr:col>
      <xdr:colOff>625929</xdr:colOff>
      <xdr:row>10</xdr:row>
      <xdr:rowOff>66756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373D2-CEFC-4B5F-8E90-75A5D2C50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93270" y="87967"/>
          <a:ext cx="1974302" cy="17962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nvestopedia.com/terms/a/apv.asp" TargetMode="External"/><Relationship Id="rId1" Type="http://schemas.openxmlformats.org/officeDocument/2006/relationships/hyperlink" Target="https://home.treasury.gov/resource-center/data-chart-center/interest-rates/TextView?type=daily_treasury_yield_curve&amp;field_tdr_date_value=2025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uidestone.org/Resources/Education/Calculators/Spanish/SPMortgageLoan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orldpopulationreview.com/states/michigan/property-ta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https://www.michigan.gov/taxes/-/media/Project/Websites/taxes/4029/Total-Rates-Reports/2024-Total-Rates.pdf?rev=b670f0fd0ca04193af5abc9cb17462e3&amp;hash=A501588AFDC2F8E68DC7A57109C2C1DE" TargetMode="External"/><Relationship Id="rId1" Type="http://schemas.openxmlformats.org/officeDocument/2006/relationships/hyperlink" Target="https://www.treadstonemortgage.com/blog/michigan-property-tax-millage-rates-by-county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treas-secure.state.mi.us/ptestimator" TargetMode="External"/><Relationship Id="rId2" Type="http://schemas.openxmlformats.org/officeDocument/2006/relationships/hyperlink" Target="https://taxfoundation.org/data/all/state/property-taxes-by-state-county/" TargetMode="External"/><Relationship Id="rId1" Type="http://schemas.openxmlformats.org/officeDocument/2006/relationships/hyperlink" Target="https://smartasset.com/taxes/michigan-property-tax-calculator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www.zillow.com/homedetails/22024-Lester-St-Clinton-Township-MI-48035/170345534_zpid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TextView?type=daily_treasury_yield_curve&amp;field_tdr_date_value=2025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B3B94-C537-49F0-8CBD-E5D566E668F9}">
  <sheetPr codeName="Sheet1">
    <tabColor theme="1"/>
  </sheetPr>
  <dimension ref="B1:T54"/>
  <sheetViews>
    <sheetView tabSelected="1" zoomScaleNormal="100" workbookViewId="0">
      <selection activeCell="F33" sqref="F33"/>
    </sheetView>
  </sheetViews>
  <sheetFormatPr defaultRowHeight="12" x14ac:dyDescent="0.3"/>
  <cols>
    <col min="1" max="1" width="2.26953125" style="175" customWidth="1"/>
    <col min="2" max="2" width="2.1796875" style="175" customWidth="1"/>
    <col min="3" max="3" width="31.1796875" style="175" customWidth="1"/>
    <col min="4" max="4" width="17.26953125" style="175" bestFit="1" customWidth="1"/>
    <col min="5" max="5" width="13.08984375" style="175" customWidth="1"/>
    <col min="6" max="6" width="11.453125" style="175" bestFit="1" customWidth="1"/>
    <col min="7" max="7" width="2.26953125" style="175" customWidth="1"/>
    <col min="8" max="8" width="2.453125" style="175" customWidth="1"/>
    <col min="9" max="9" width="2.26953125" style="175" customWidth="1"/>
    <col min="10" max="15" width="8.7265625" style="175"/>
    <col min="16" max="16" width="17.26953125" style="175" bestFit="1" customWidth="1"/>
    <col min="17" max="17" width="2" style="175" customWidth="1"/>
    <col min="18" max="18" width="8.7265625" style="175"/>
    <col min="19" max="19" width="10.08984375" style="175" bestFit="1" customWidth="1"/>
    <col min="20" max="20" width="11.08984375" style="175" bestFit="1" customWidth="1"/>
    <col min="21" max="16384" width="8.7265625" style="175"/>
  </cols>
  <sheetData>
    <row r="1" spans="2:20" ht="6.5" customHeight="1" thickBot="1" x14ac:dyDescent="0.35"/>
    <row r="2" spans="2:20" ht="19" thickBot="1" x14ac:dyDescent="0.5">
      <c r="B2" s="275" t="s">
        <v>277</v>
      </c>
      <c r="C2" s="194"/>
      <c r="D2" s="194"/>
      <c r="E2" s="194"/>
      <c r="F2" s="194"/>
      <c r="G2" s="195"/>
      <c r="I2" s="275" t="s">
        <v>267</v>
      </c>
      <c r="J2" s="196"/>
      <c r="K2" s="196"/>
      <c r="L2" s="196"/>
      <c r="M2" s="196"/>
      <c r="N2" s="196"/>
      <c r="O2" s="196"/>
      <c r="P2" s="196"/>
      <c r="Q2" s="197"/>
    </row>
    <row r="3" spans="2:20" ht="12.5" thickBot="1" x14ac:dyDescent="0.35">
      <c r="B3" s="243"/>
      <c r="C3" s="242"/>
      <c r="D3" s="242"/>
      <c r="E3" s="242"/>
      <c r="F3" s="242"/>
      <c r="G3" s="244"/>
      <c r="I3" s="198"/>
      <c r="J3" s="200"/>
      <c r="K3" s="200"/>
      <c r="L3" s="200"/>
      <c r="M3" s="200"/>
      <c r="N3" s="200"/>
      <c r="O3" s="200"/>
      <c r="P3" s="200"/>
      <c r="Q3" s="199"/>
    </row>
    <row r="4" spans="2:20" ht="12.5" thickTop="1" x14ac:dyDescent="0.3">
      <c r="B4" s="201"/>
      <c r="C4" s="245" t="s">
        <v>272</v>
      </c>
      <c r="D4" s="127"/>
      <c r="E4" s="127"/>
      <c r="F4" s="127"/>
      <c r="G4" s="202"/>
      <c r="I4" s="201"/>
      <c r="J4" s="127" t="s">
        <v>46</v>
      </c>
      <c r="K4" s="127"/>
      <c r="L4" s="127"/>
      <c r="M4" s="127"/>
      <c r="N4" s="127"/>
      <c r="O4" s="127"/>
      <c r="P4" s="203">
        <f>D21</f>
        <v>228158.7</v>
      </c>
      <c r="Q4" s="202"/>
    </row>
    <row r="5" spans="2:20" x14ac:dyDescent="0.3">
      <c r="B5" s="201"/>
      <c r="C5" s="246" t="s">
        <v>273</v>
      </c>
      <c r="D5" s="127"/>
      <c r="E5" s="127"/>
      <c r="F5" s="127"/>
      <c r="G5" s="202"/>
      <c r="I5" s="201"/>
      <c r="J5" s="127"/>
      <c r="K5" s="127"/>
      <c r="L5" s="127"/>
      <c r="M5" s="127"/>
      <c r="N5" s="127"/>
      <c r="O5" s="127"/>
      <c r="P5" s="127"/>
      <c r="Q5" s="202"/>
    </row>
    <row r="6" spans="2:20" x14ac:dyDescent="0.3">
      <c r="B6" s="201"/>
      <c r="C6" s="246" t="s">
        <v>274</v>
      </c>
      <c r="D6" s="127"/>
      <c r="E6" s="127"/>
      <c r="F6" s="127"/>
      <c r="G6" s="202"/>
      <c r="I6" s="201"/>
      <c r="J6" s="127"/>
      <c r="K6" s="127"/>
      <c r="L6" s="127"/>
      <c r="M6" s="127"/>
      <c r="N6" s="127"/>
      <c r="O6" s="127"/>
      <c r="P6" s="127"/>
      <c r="Q6" s="202"/>
    </row>
    <row r="7" spans="2:20" x14ac:dyDescent="0.3">
      <c r="B7" s="201"/>
      <c r="C7" s="246" t="s">
        <v>275</v>
      </c>
      <c r="D7" s="127"/>
      <c r="E7" s="127"/>
      <c r="F7" s="127"/>
      <c r="G7" s="202"/>
      <c r="I7" s="201"/>
      <c r="J7" s="127" t="s">
        <v>188</v>
      </c>
      <c r="K7" s="127"/>
      <c r="L7" s="127"/>
      <c r="M7" s="127"/>
      <c r="N7" s="127"/>
      <c r="O7" s="127"/>
      <c r="P7" s="205">
        <f>'Flujos Mensuales'!T9</f>
        <v>1517.9455240683837</v>
      </c>
      <c r="Q7" s="202"/>
    </row>
    <row r="8" spans="2:20" x14ac:dyDescent="0.3">
      <c r="B8" s="201"/>
      <c r="C8" s="127"/>
      <c r="D8" s="127"/>
      <c r="E8" s="127"/>
      <c r="F8" s="127"/>
      <c r="G8" s="202"/>
      <c r="I8" s="201"/>
      <c r="J8" s="127"/>
      <c r="K8" s="127"/>
      <c r="L8" s="127"/>
      <c r="M8" s="127"/>
      <c r="N8" s="127"/>
      <c r="O8" s="127"/>
      <c r="P8" s="207"/>
      <c r="Q8" s="202"/>
    </row>
    <row r="9" spans="2:20" x14ac:dyDescent="0.3">
      <c r="B9" s="201"/>
      <c r="C9" s="127" t="s">
        <v>43</v>
      </c>
      <c r="D9" s="204">
        <v>249900</v>
      </c>
      <c r="E9" s="127"/>
      <c r="F9" s="127"/>
      <c r="G9" s="202"/>
      <c r="I9" s="201"/>
      <c r="J9" s="127" t="str">
        <f>IF(D19&gt;=0.2,"","Pago Mensual del Seguro del credito")</f>
        <v>Pago Mensual del Seguro del credito</v>
      </c>
      <c r="K9" s="127"/>
      <c r="L9" s="127"/>
      <c r="M9" s="127"/>
      <c r="N9" s="127"/>
      <c r="O9" s="127"/>
      <c r="P9" s="207">
        <f>IF(D19&gt;=0.2,"",D27/12)</f>
        <v>247.17192499999999</v>
      </c>
      <c r="Q9" s="202"/>
    </row>
    <row r="10" spans="2:20" x14ac:dyDescent="0.3">
      <c r="B10" s="201"/>
      <c r="C10" s="127"/>
      <c r="D10" s="127"/>
      <c r="E10" s="127"/>
      <c r="F10" s="127"/>
      <c r="G10" s="202"/>
      <c r="I10" s="201"/>
      <c r="J10" s="127"/>
      <c r="K10" s="127"/>
      <c r="L10" s="127"/>
      <c r="M10" s="127"/>
      <c r="N10" s="127"/>
      <c r="O10" s="127"/>
      <c r="P10" s="127"/>
      <c r="Q10" s="202"/>
      <c r="S10" s="209"/>
      <c r="T10" s="209"/>
    </row>
    <row r="11" spans="2:20" x14ac:dyDescent="0.3">
      <c r="B11" s="201"/>
      <c r="C11" s="127" t="s">
        <v>156</v>
      </c>
      <c r="D11" s="206">
        <v>30</v>
      </c>
      <c r="E11" s="127"/>
      <c r="F11" s="127"/>
      <c r="G11" s="202"/>
      <c r="I11" s="201"/>
      <c r="J11" s="127" t="str">
        <f>IF(D25="Mensual","Pago Mensual de Impuestos (incluido en el credito) 2o año ","")</f>
        <v xml:space="preserve">Pago Mensual de Impuestos (incluido en el credito) 2o año </v>
      </c>
      <c r="K11" s="127"/>
      <c r="L11" s="127"/>
      <c r="M11" s="127"/>
      <c r="N11" s="127"/>
      <c r="O11" s="127"/>
      <c r="P11" s="207">
        <f>IF(D25="Mensual",'Flujos Mensuales'!H26,"")</f>
        <v>352.08456167908804</v>
      </c>
      <c r="Q11" s="202"/>
    </row>
    <row r="12" spans="2:20" ht="12.5" thickBot="1" x14ac:dyDescent="0.35">
      <c r="B12" s="201"/>
      <c r="C12" s="127"/>
      <c r="D12" s="127"/>
      <c r="E12" s="127"/>
      <c r="F12" s="127"/>
      <c r="G12" s="202"/>
      <c r="I12" s="201"/>
      <c r="J12" s="211"/>
      <c r="K12" s="211"/>
      <c r="L12" s="211"/>
      <c r="M12" s="211"/>
      <c r="N12" s="211"/>
      <c r="O12" s="211"/>
      <c r="P12" s="212"/>
      <c r="Q12" s="202"/>
    </row>
    <row r="13" spans="2:20" ht="12.5" thickTop="1" x14ac:dyDescent="0.3">
      <c r="B13" s="201"/>
      <c r="C13" s="127" t="s">
        <v>44</v>
      </c>
      <c r="D13" s="208">
        <f>F13/2/1000</f>
        <v>7.0000000000000007E-2</v>
      </c>
      <c r="E13" s="127"/>
      <c r="F13" s="127">
        <v>140</v>
      </c>
      <c r="G13" s="202"/>
      <c r="I13" s="201"/>
      <c r="J13" s="127" t="str">
        <f>IF($D$19&lt;0.2,IF($D$25="Mensual","Pago Mensual (2o año):  Capital + Intereses + Seguro + Impuestos","Pago Mensual (2o año):  Capital + Intereses +  Seguro"),IF($D$25="Mensual","Pago Mensual (2o año):  Capital + Intereses + Impuestos","Pago Mensual (2o año):  Capital + Intereses"))</f>
        <v>Pago Mensual (2o año):  Capital + Intereses + Seguro + Impuestos</v>
      </c>
      <c r="K13" s="127"/>
      <c r="L13" s="127"/>
      <c r="M13" s="127"/>
      <c r="N13" s="127"/>
      <c r="O13" s="127"/>
      <c r="P13" s="205">
        <f>IF($D$19&gt;=0.2,'Flujos Mensuales'!W8,'Flujos Mensuales'!W7)</f>
        <v>2117.2020107474718</v>
      </c>
      <c r="Q13" s="202"/>
    </row>
    <row r="14" spans="2:20" x14ac:dyDescent="0.3">
      <c r="B14" s="201"/>
      <c r="C14" s="127"/>
      <c r="D14" s="127"/>
      <c r="E14" s="127"/>
      <c r="F14" s="127"/>
      <c r="G14" s="202"/>
      <c r="I14" s="201"/>
      <c r="J14" s="127"/>
      <c r="K14" s="127"/>
      <c r="L14" s="127"/>
      <c r="M14" s="127"/>
      <c r="N14" s="127"/>
      <c r="O14" s="127"/>
      <c r="P14" s="215"/>
      <c r="Q14" s="202"/>
    </row>
    <row r="15" spans="2:20" x14ac:dyDescent="0.3">
      <c r="B15" s="201"/>
      <c r="C15" s="127" t="s">
        <v>69</v>
      </c>
      <c r="D15" s="210">
        <f>0.1*D9</f>
        <v>24990</v>
      </c>
      <c r="E15" s="131" t="s">
        <v>141</v>
      </c>
      <c r="F15" s="127"/>
      <c r="G15" s="202"/>
      <c r="I15" s="201"/>
      <c r="J15" s="127" t="s">
        <v>206</v>
      </c>
      <c r="K15" s="127"/>
      <c r="L15" s="127"/>
      <c r="M15" s="127"/>
      <c r="N15" s="127"/>
      <c r="O15" s="127"/>
      <c r="P15" s="207">
        <f>'Flujos Mensuales'!P26</f>
        <v>35.097500000000004</v>
      </c>
      <c r="Q15" s="202"/>
    </row>
    <row r="16" spans="2:20" x14ac:dyDescent="0.3">
      <c r="B16" s="201"/>
      <c r="C16" s="127"/>
      <c r="D16" s="213"/>
      <c r="E16" s="240"/>
      <c r="F16" s="127"/>
      <c r="G16" s="202"/>
      <c r="I16" s="201"/>
      <c r="J16" s="127"/>
      <c r="K16" s="127"/>
      <c r="L16" s="127"/>
      <c r="M16" s="127"/>
      <c r="N16" s="127"/>
      <c r="O16" s="127"/>
      <c r="P16" s="207"/>
      <c r="Q16" s="202"/>
    </row>
    <row r="17" spans="2:19" x14ac:dyDescent="0.3">
      <c r="B17" s="201"/>
      <c r="C17" s="127" t="s">
        <v>76</v>
      </c>
      <c r="D17" s="214">
        <f>D9+D15</f>
        <v>274890</v>
      </c>
      <c r="E17" s="240"/>
      <c r="F17" s="127"/>
      <c r="G17" s="202"/>
      <c r="I17" s="201"/>
      <c r="J17" s="127" t="str">
        <f>IF(D30="Mensual","Pago Mensual de Mantenimientos Mayores (a partir del 2do año)","")</f>
        <v>Pago Mensual de Mantenimientos Mayores (a partir del 2do año)</v>
      </c>
      <c r="K17" s="127"/>
      <c r="L17" s="127"/>
      <c r="M17" s="127"/>
      <c r="N17" s="127"/>
      <c r="O17" s="127"/>
      <c r="P17" s="207">
        <f>IF(D30="Mensual",'Flujos Mensuales'!O26,"")</f>
        <v>217.76179069805394</v>
      </c>
      <c r="Q17" s="202"/>
    </row>
    <row r="18" spans="2:19" ht="12.5" thickBot="1" x14ac:dyDescent="0.35">
      <c r="B18" s="201"/>
      <c r="C18" s="127"/>
      <c r="D18" s="213"/>
      <c r="E18" s="240"/>
      <c r="F18" s="127"/>
      <c r="G18" s="202"/>
      <c r="I18" s="201"/>
      <c r="J18" s="211"/>
      <c r="K18" s="211"/>
      <c r="L18" s="211"/>
      <c r="M18" s="211"/>
      <c r="N18" s="211"/>
      <c r="O18" s="211"/>
      <c r="P18" s="211"/>
      <c r="Q18" s="202"/>
    </row>
    <row r="19" spans="2:19" ht="12.5" thickTop="1" x14ac:dyDescent="0.3">
      <c r="B19" s="201"/>
      <c r="C19" s="127" t="s">
        <v>70</v>
      </c>
      <c r="D19" s="216">
        <f>F19/100</f>
        <v>0.17</v>
      </c>
      <c r="E19" s="241">
        <f>D17*D19</f>
        <v>46731.3</v>
      </c>
      <c r="F19" s="127">
        <v>17</v>
      </c>
      <c r="G19" s="202"/>
      <c r="I19" s="201"/>
      <c r="J19" s="220" t="s">
        <v>204</v>
      </c>
      <c r="K19" s="221"/>
      <c r="L19" s="221"/>
      <c r="M19" s="221"/>
      <c r="N19" s="127"/>
      <c r="O19" s="127"/>
      <c r="P19" s="222">
        <f>'Flujos Mensuales'!Q26</f>
        <v>2370.0613014455257</v>
      </c>
      <c r="Q19" s="202"/>
      <c r="S19" s="209"/>
    </row>
    <row r="20" spans="2:19" x14ac:dyDescent="0.3">
      <c r="B20" s="201"/>
      <c r="C20" s="127"/>
      <c r="D20" s="213"/>
      <c r="E20" s="240"/>
      <c r="F20" s="127"/>
      <c r="G20" s="202"/>
      <c r="I20" s="201"/>
      <c r="J20" s="127"/>
      <c r="K20" s="127" t="s">
        <v>169</v>
      </c>
      <c r="L20" s="127"/>
      <c r="M20" s="127"/>
      <c r="N20" s="127"/>
      <c r="O20" s="127"/>
      <c r="P20" s="207"/>
      <c r="Q20" s="202"/>
    </row>
    <row r="21" spans="2:19" x14ac:dyDescent="0.3">
      <c r="B21" s="201"/>
      <c r="C21" s="217" t="s">
        <v>222</v>
      </c>
      <c r="D21" s="218">
        <f>D17-(D17*D19)</f>
        <v>228158.7</v>
      </c>
      <c r="E21" s="240"/>
      <c r="F21" s="127"/>
      <c r="G21" s="202"/>
      <c r="I21" s="201"/>
      <c r="J21" s="127"/>
      <c r="K21" s="127" t="s">
        <v>170</v>
      </c>
      <c r="L21" s="127"/>
      <c r="M21" s="127"/>
      <c r="N21" s="127"/>
      <c r="O21" s="127"/>
      <c r="P21" s="207"/>
      <c r="Q21" s="202"/>
    </row>
    <row r="22" spans="2:19" x14ac:dyDescent="0.3">
      <c r="B22" s="201"/>
      <c r="C22" s="127"/>
      <c r="D22" s="219"/>
      <c r="E22" s="240"/>
      <c r="F22" s="127"/>
      <c r="G22" s="202"/>
      <c r="I22" s="201"/>
      <c r="J22" s="127"/>
      <c r="K22" s="127" t="s">
        <v>205</v>
      </c>
      <c r="L22" s="127"/>
      <c r="M22" s="127"/>
      <c r="N22" s="127"/>
      <c r="O22" s="127"/>
      <c r="P22" s="207"/>
      <c r="Q22" s="202"/>
    </row>
    <row r="23" spans="2:19" x14ac:dyDescent="0.3">
      <c r="B23" s="201"/>
      <c r="C23" s="127" t="s">
        <v>155</v>
      </c>
      <c r="D23" s="214">
        <f>MAX(catalogos!D3:D8)</f>
        <v>4196.1948989862985</v>
      </c>
      <c r="E23" s="240"/>
      <c r="F23" s="223"/>
      <c r="G23" s="202"/>
      <c r="I23" s="201"/>
      <c r="J23" s="127"/>
      <c r="K23" s="127" t="s">
        <v>171</v>
      </c>
      <c r="L23" s="127"/>
      <c r="M23" s="127"/>
      <c r="N23" s="127"/>
      <c r="O23" s="127"/>
      <c r="P23" s="207"/>
      <c r="Q23" s="202"/>
    </row>
    <row r="24" spans="2:19" x14ac:dyDescent="0.3">
      <c r="B24" s="201"/>
      <c r="C24" s="127"/>
      <c r="D24" s="219"/>
      <c r="E24" s="240"/>
      <c r="F24" s="127"/>
      <c r="G24" s="202"/>
      <c r="I24" s="201"/>
      <c r="J24" s="127"/>
      <c r="K24" s="127" t="s">
        <v>172</v>
      </c>
      <c r="L24" s="127"/>
      <c r="M24" s="127"/>
      <c r="N24" s="127"/>
      <c r="O24" s="127"/>
      <c r="P24" s="207"/>
      <c r="Q24" s="202"/>
    </row>
    <row r="25" spans="2:19" x14ac:dyDescent="0.3">
      <c r="B25" s="201"/>
      <c r="C25" s="127" t="s">
        <v>159</v>
      </c>
      <c r="D25" s="224" t="s">
        <v>20</v>
      </c>
      <c r="E25" s="131" t="str">
        <f>IF(D25="Mensual"," Incluido en la Mensualidad","")</f>
        <v xml:space="preserve"> Incluido en la Mensualidad</v>
      </c>
      <c r="F25" s="127"/>
      <c r="G25" s="202"/>
      <c r="I25" s="201"/>
      <c r="J25" s="127"/>
      <c r="K25" s="127"/>
      <c r="L25" s="127"/>
      <c r="M25" s="127"/>
      <c r="N25" s="127"/>
      <c r="O25" s="127"/>
      <c r="P25" s="207"/>
      <c r="Q25" s="202"/>
    </row>
    <row r="26" spans="2:19" x14ac:dyDescent="0.3">
      <c r="B26" s="201"/>
      <c r="C26" s="127"/>
      <c r="D26" s="127"/>
      <c r="E26" s="240"/>
      <c r="F26" s="127"/>
      <c r="G26" s="202"/>
      <c r="I26" s="201"/>
      <c r="J26" s="127" t="str">
        <f>IF(D25="Anual","Pago Anual de Impuestos a inicio del 2o año","")</f>
        <v/>
      </c>
      <c r="K26" s="127"/>
      <c r="L26" s="127"/>
      <c r="M26" s="127"/>
      <c r="N26" s="127"/>
      <c r="O26" s="127"/>
      <c r="P26" s="207" t="str">
        <f>IF(D25="Anual",D23,"")</f>
        <v/>
      </c>
      <c r="Q26" s="202"/>
    </row>
    <row r="27" spans="2:19" x14ac:dyDescent="0.3">
      <c r="B27" s="201"/>
      <c r="C27" s="127" t="s">
        <v>187</v>
      </c>
      <c r="D27" s="225">
        <f>IF(D19&gt;=0.2,0,0.013*D21)</f>
        <v>2966.0630999999998</v>
      </c>
      <c r="E27" s="131" t="s">
        <v>175</v>
      </c>
      <c r="F27" s="127"/>
      <c r="G27" s="202"/>
      <c r="I27" s="201"/>
      <c r="J27" s="127"/>
      <c r="K27" s="127"/>
      <c r="L27" s="127"/>
      <c r="M27" s="127"/>
      <c r="N27" s="127"/>
      <c r="O27" s="127"/>
      <c r="P27" s="127"/>
      <c r="Q27" s="202"/>
    </row>
    <row r="28" spans="2:19" x14ac:dyDescent="0.3">
      <c r="B28" s="201"/>
      <c r="C28" s="127"/>
      <c r="D28" s="127"/>
      <c r="E28" s="131" t="s">
        <v>176</v>
      </c>
      <c r="F28" s="127"/>
      <c r="G28" s="202"/>
      <c r="I28" s="201"/>
      <c r="J28" s="127" t="str">
        <f>IF(D30="Anual","Pago Anual Mantenimientos Mayores (a partir del 2do año)","")</f>
        <v/>
      </c>
      <c r="K28" s="127"/>
      <c r="L28" s="127"/>
      <c r="M28" s="127"/>
      <c r="N28" s="127"/>
      <c r="O28" s="127"/>
      <c r="P28" s="207" t="str">
        <f>IF(D30="Anual",'Flujos Mensuales'!O37,"")</f>
        <v/>
      </c>
      <c r="Q28" s="202"/>
    </row>
    <row r="29" spans="2:19" x14ac:dyDescent="0.3">
      <c r="B29" s="201"/>
      <c r="C29" s="127"/>
      <c r="D29" s="127"/>
      <c r="E29" s="240"/>
      <c r="F29" s="127"/>
      <c r="G29" s="202"/>
      <c r="I29" s="201"/>
      <c r="J29" s="127"/>
      <c r="K29" s="127"/>
      <c r="L29" s="127"/>
      <c r="M29" s="127"/>
      <c r="N29" s="127"/>
      <c r="O29" s="127"/>
      <c r="P29" s="207"/>
      <c r="Q29" s="202"/>
    </row>
    <row r="30" spans="2:19" x14ac:dyDescent="0.3">
      <c r="B30" s="201"/>
      <c r="C30" s="127" t="s">
        <v>190</v>
      </c>
      <c r="D30" s="224" t="s">
        <v>20</v>
      </c>
      <c r="E30" s="131" t="str">
        <f>IF(D30="Mensual"," Prorrateado Mensualmente","")</f>
        <v xml:space="preserve"> Prorrateado Mensualmente</v>
      </c>
      <c r="F30" s="127"/>
      <c r="G30" s="202"/>
      <c r="I30" s="201"/>
      <c r="J30" s="217" t="str">
        <f>IF(AND(D25="Mensual",D30="Mensual"),"","Total de Pagos Anuales Adicionales a partir del 2o año")</f>
        <v/>
      </c>
      <c r="K30" s="127"/>
      <c r="L30" s="127"/>
      <c r="M30" s="127"/>
      <c r="N30" s="127"/>
      <c r="O30" s="127"/>
      <c r="P30" s="207" t="str" cm="1">
        <f t="array" ref="P30">IF(SUMPRODUCT(--ISNUMBER(P26:P28),P26:P28)=0,"",SUMPRODUCT(--ISNUMBER(P26:P28),P26:P28))</f>
        <v/>
      </c>
      <c r="Q30" s="202"/>
    </row>
    <row r="31" spans="2:19" ht="12.5" thickBot="1" x14ac:dyDescent="0.35">
      <c r="B31" s="226"/>
      <c r="C31" s="227"/>
      <c r="D31" s="227"/>
      <c r="E31" s="227"/>
      <c r="F31" s="227"/>
      <c r="G31" s="228"/>
      <c r="I31" s="226"/>
      <c r="J31" s="227"/>
      <c r="K31" s="227"/>
      <c r="L31" s="227"/>
      <c r="M31" s="227"/>
      <c r="N31" s="227"/>
      <c r="O31" s="227"/>
      <c r="P31" s="232"/>
      <c r="Q31" s="228"/>
    </row>
    <row r="32" spans="2:19" ht="12.5" thickBot="1" x14ac:dyDescent="0.35"/>
    <row r="33" spans="2:17" ht="19" thickBot="1" x14ac:dyDescent="0.5">
      <c r="B33" s="275" t="s">
        <v>223</v>
      </c>
      <c r="C33" s="194"/>
      <c r="D33" s="194"/>
      <c r="E33" s="195"/>
      <c r="I33" s="275" t="s">
        <v>168</v>
      </c>
      <c r="J33" s="196"/>
      <c r="K33" s="196"/>
      <c r="L33" s="196"/>
      <c r="M33" s="196"/>
      <c r="N33" s="196"/>
      <c r="O33" s="196"/>
      <c r="P33" s="196"/>
      <c r="Q33" s="197"/>
    </row>
    <row r="34" spans="2:17" x14ac:dyDescent="0.3">
      <c r="B34" s="229"/>
      <c r="C34" s="230"/>
      <c r="D34" s="230"/>
      <c r="E34" s="231"/>
      <c r="I34" s="201"/>
      <c r="J34" s="127"/>
      <c r="K34" s="127"/>
      <c r="L34" s="127"/>
      <c r="M34" s="127"/>
      <c r="N34" s="127"/>
      <c r="O34" s="127"/>
      <c r="P34" s="207"/>
      <c r="Q34" s="202"/>
    </row>
    <row r="35" spans="2:17" x14ac:dyDescent="0.3">
      <c r="B35" s="201"/>
      <c r="C35" s="127" t="s">
        <v>89</v>
      </c>
      <c r="D35" s="247">
        <v>0</v>
      </c>
      <c r="E35" s="202"/>
      <c r="I35" s="201"/>
      <c r="J35" s="127" t="s">
        <v>202</v>
      </c>
      <c r="K35" s="127"/>
      <c r="L35" s="127"/>
      <c r="M35" s="127"/>
      <c r="N35" s="127"/>
      <c r="O35" s="127"/>
      <c r="P35" s="207">
        <f>'Flujos Mensuales'!E6</f>
        <v>228158.69999999506</v>
      </c>
      <c r="Q35" s="202"/>
    </row>
    <row r="36" spans="2:17" x14ac:dyDescent="0.3">
      <c r="B36" s="201"/>
      <c r="C36" s="127" t="s">
        <v>83</v>
      </c>
      <c r="D36" s="247">
        <v>0</v>
      </c>
      <c r="E36" s="202"/>
      <c r="I36" s="201"/>
      <c r="J36" s="127"/>
      <c r="K36" s="127"/>
      <c r="L36" s="127"/>
      <c r="M36" s="127"/>
      <c r="N36" s="127"/>
      <c r="O36" s="127"/>
      <c r="P36" s="205"/>
      <c r="Q36" s="202"/>
    </row>
    <row r="37" spans="2:17" x14ac:dyDescent="0.3">
      <c r="B37" s="201"/>
      <c r="C37" s="127" t="s">
        <v>84</v>
      </c>
      <c r="D37" s="247">
        <v>0</v>
      </c>
      <c r="E37" s="202"/>
      <c r="I37" s="201"/>
      <c r="J37" s="127" t="s">
        <v>166</v>
      </c>
      <c r="K37" s="127"/>
      <c r="L37" s="127"/>
      <c r="M37" s="127"/>
      <c r="N37" s="127"/>
      <c r="O37" s="127"/>
      <c r="P37" s="205">
        <f>'Flujos Mensuales'!D6</f>
        <v>318301.68866462307</v>
      </c>
      <c r="Q37" s="202"/>
    </row>
    <row r="38" spans="2:17" ht="12.5" thickBot="1" x14ac:dyDescent="0.35">
      <c r="B38" s="201"/>
      <c r="C38" s="127" t="s">
        <v>85</v>
      </c>
      <c r="D38" s="247">
        <v>0</v>
      </c>
      <c r="E38" s="202"/>
      <c r="I38" s="201"/>
      <c r="J38" s="211"/>
      <c r="K38" s="211"/>
      <c r="L38" s="211"/>
      <c r="M38" s="211"/>
      <c r="N38" s="211"/>
      <c r="O38" s="211"/>
      <c r="P38" s="212"/>
      <c r="Q38" s="202"/>
    </row>
    <row r="39" spans="2:17" ht="12.5" thickTop="1" x14ac:dyDescent="0.3">
      <c r="B39" s="201"/>
      <c r="C39" s="127" t="s">
        <v>86</v>
      </c>
      <c r="D39" s="247">
        <v>0</v>
      </c>
      <c r="E39" s="202"/>
      <c r="F39" s="209"/>
      <c r="I39" s="201"/>
      <c r="J39" s="127" t="s">
        <v>203</v>
      </c>
      <c r="K39" s="127"/>
      <c r="L39" s="127"/>
      <c r="M39" s="127"/>
      <c r="N39" s="127"/>
      <c r="O39" s="127"/>
      <c r="P39" s="205">
        <f>'Flujos Mensuales'!C6</f>
        <v>546460.38866461674</v>
      </c>
      <c r="Q39" s="202"/>
    </row>
    <row r="40" spans="2:17" x14ac:dyDescent="0.3">
      <c r="B40" s="201"/>
      <c r="C40" s="127" t="s">
        <v>154</v>
      </c>
      <c r="D40" s="247">
        <f>(25*5)/12</f>
        <v>10.416666666666666</v>
      </c>
      <c r="E40" s="277" t="s">
        <v>276</v>
      </c>
      <c r="I40" s="201"/>
      <c r="J40" s="127"/>
      <c r="K40" s="127"/>
      <c r="L40" s="127"/>
      <c r="M40" s="127"/>
      <c r="N40" s="127"/>
      <c r="O40" s="127"/>
      <c r="P40" s="205"/>
      <c r="Q40" s="202"/>
    </row>
    <row r="41" spans="2:17" x14ac:dyDescent="0.3">
      <c r="B41" s="201"/>
      <c r="C41" s="127" t="s">
        <v>153</v>
      </c>
      <c r="D41" s="247">
        <f>(15*7)/12</f>
        <v>8.75</v>
      </c>
      <c r="E41" s="277" t="s">
        <v>276</v>
      </c>
      <c r="I41" s="201"/>
      <c r="J41" s="127" t="s">
        <v>51</v>
      </c>
      <c r="K41" s="127"/>
      <c r="L41" s="127"/>
      <c r="M41" s="127"/>
      <c r="N41" s="127"/>
      <c r="O41" s="127"/>
      <c r="P41" s="205">
        <f>'Flujos Mensuales'!H6</f>
        <v>139344.43524978653</v>
      </c>
      <c r="Q41" s="202"/>
    </row>
    <row r="42" spans="2:17" x14ac:dyDescent="0.3">
      <c r="B42" s="201"/>
      <c r="C42" s="127" t="s">
        <v>152</v>
      </c>
      <c r="D42" s="247">
        <f>187/12</f>
        <v>15.583333333333334</v>
      </c>
      <c r="E42" s="277" t="s">
        <v>276</v>
      </c>
      <c r="I42" s="201"/>
      <c r="J42" s="127"/>
      <c r="K42" s="127"/>
      <c r="L42" s="127"/>
      <c r="M42" s="127"/>
      <c r="N42" s="127"/>
      <c r="O42" s="127"/>
      <c r="P42" s="205"/>
      <c r="Q42" s="202"/>
    </row>
    <row r="43" spans="2:17" x14ac:dyDescent="0.3">
      <c r="B43" s="201"/>
      <c r="C43" s="233" t="s">
        <v>90</v>
      </c>
      <c r="D43" s="247">
        <v>0</v>
      </c>
      <c r="E43" s="202"/>
      <c r="I43" s="201"/>
      <c r="J43" s="127" t="str">
        <f>IF(D19&gt;=0.2,"","Total a Pagar del Seguro")</f>
        <v>Total a Pagar del Seguro</v>
      </c>
      <c r="K43" s="127"/>
      <c r="L43" s="127"/>
      <c r="M43" s="127"/>
      <c r="N43" s="127"/>
      <c r="O43" s="127"/>
      <c r="P43" s="205">
        <f>IF(D19&gt;=0.2,"",'Flujos Mensuales'!K6)</f>
        <v>6179.2981249999984</v>
      </c>
      <c r="Q43" s="202"/>
    </row>
    <row r="44" spans="2:17" ht="12.5" thickBot="1" x14ac:dyDescent="0.35">
      <c r="B44" s="201"/>
      <c r="C44" s="234" t="s">
        <v>177</v>
      </c>
      <c r="D44" s="235">
        <f>SUM(D35:D43)</f>
        <v>34.75</v>
      </c>
      <c r="E44" s="202"/>
      <c r="I44" s="201"/>
      <c r="J44" s="211"/>
      <c r="K44" s="211"/>
      <c r="L44" s="211"/>
      <c r="M44" s="211"/>
      <c r="N44" s="211"/>
      <c r="O44" s="211"/>
      <c r="P44" s="212"/>
      <c r="Q44" s="202"/>
    </row>
    <row r="45" spans="2:17" ht="13" thickTop="1" thickBot="1" x14ac:dyDescent="0.35">
      <c r="B45" s="226"/>
      <c r="C45" s="227"/>
      <c r="D45" s="227"/>
      <c r="E45" s="228"/>
      <c r="I45" s="201"/>
      <c r="J45" s="127" t="s">
        <v>189</v>
      </c>
      <c r="K45" s="127"/>
      <c r="L45" s="127"/>
      <c r="M45" s="127"/>
      <c r="N45" s="127"/>
      <c r="O45" s="127"/>
      <c r="P45" s="205">
        <f>'Flujos Mensuales'!L6</f>
        <v>691984.12203940528</v>
      </c>
      <c r="Q45" s="202"/>
    </row>
    <row r="46" spans="2:17" x14ac:dyDescent="0.3">
      <c r="I46" s="201"/>
      <c r="J46" s="127"/>
      <c r="K46" s="127"/>
      <c r="L46" s="127"/>
      <c r="M46" s="127"/>
      <c r="N46" s="127"/>
      <c r="O46" s="127"/>
      <c r="P46" s="207"/>
      <c r="Q46" s="202"/>
    </row>
    <row r="47" spans="2:17" x14ac:dyDescent="0.3">
      <c r="I47" s="201"/>
      <c r="J47" s="127" t="s">
        <v>173</v>
      </c>
      <c r="K47" s="127"/>
      <c r="L47" s="127"/>
      <c r="M47" s="127"/>
      <c r="N47" s="127"/>
      <c r="O47" s="127"/>
      <c r="P47" s="207">
        <f>SUM('Flujos Anuales'!J9:J39)</f>
        <v>161255.13336824047</v>
      </c>
      <c r="Q47" s="202"/>
    </row>
    <row r="48" spans="2:17" x14ac:dyDescent="0.3">
      <c r="I48" s="201"/>
      <c r="J48" s="127"/>
      <c r="K48" s="127"/>
      <c r="L48" s="127"/>
      <c r="M48" s="127"/>
      <c r="N48" s="127"/>
      <c r="O48" s="127"/>
      <c r="P48" s="207"/>
      <c r="Q48" s="202"/>
    </row>
    <row r="49" spans="9:17" x14ac:dyDescent="0.3">
      <c r="I49" s="201"/>
      <c r="J49" s="127" t="s">
        <v>174</v>
      </c>
      <c r="K49" s="127"/>
      <c r="L49" s="127"/>
      <c r="M49" s="127"/>
      <c r="N49" s="127"/>
      <c r="O49" s="127"/>
      <c r="P49" s="207">
        <f>SUM('Flujos Anuales'!K9:K39)</f>
        <v>15067.352767075996</v>
      </c>
      <c r="Q49" s="202"/>
    </row>
    <row r="50" spans="9:17" ht="12.5" thickBot="1" x14ac:dyDescent="0.35">
      <c r="I50" s="201"/>
      <c r="J50" s="211"/>
      <c r="K50" s="211"/>
      <c r="L50" s="211"/>
      <c r="M50" s="211"/>
      <c r="N50" s="211"/>
      <c r="O50" s="211"/>
      <c r="P50" s="236"/>
      <c r="Q50" s="202"/>
    </row>
    <row r="51" spans="9:17" ht="12.5" thickTop="1" x14ac:dyDescent="0.3">
      <c r="I51" s="201"/>
      <c r="J51" s="237" t="s">
        <v>195</v>
      </c>
      <c r="K51" s="237"/>
      <c r="L51" s="127"/>
      <c r="M51" s="127"/>
      <c r="N51" s="127"/>
      <c r="O51" s="127"/>
      <c r="P51" s="238">
        <f>SUM('Flujos Anuales'!L9:L39)</f>
        <v>915037.90817472106</v>
      </c>
      <c r="Q51" s="202"/>
    </row>
    <row r="52" spans="9:17" x14ac:dyDescent="0.3">
      <c r="I52" s="201"/>
      <c r="J52" s="127"/>
      <c r="K52" s="127"/>
      <c r="L52" s="127"/>
      <c r="M52" s="127"/>
      <c r="N52" s="127"/>
      <c r="O52" s="127"/>
      <c r="P52" s="127"/>
      <c r="Q52" s="202"/>
    </row>
    <row r="53" spans="9:17" x14ac:dyDescent="0.3">
      <c r="I53" s="201"/>
      <c r="J53" s="127" t="s">
        <v>271</v>
      </c>
      <c r="K53" s="127"/>
      <c r="L53" s="127"/>
      <c r="M53" s="127"/>
      <c r="N53" s="127"/>
      <c r="O53" s="127"/>
      <c r="P53" s="239" cm="1">
        <f t="array" ref="P53">MATCH(TRUE,'Flujos Anuales'!G9:G49&gt;'Flujos Anuales'!M9:M49,0)-1</f>
        <v>29</v>
      </c>
      <c r="Q53" s="139"/>
    </row>
    <row r="54" spans="9:17" ht="12.5" thickBot="1" x14ac:dyDescent="0.35">
      <c r="I54" s="226"/>
      <c r="J54" s="227"/>
      <c r="K54" s="227"/>
      <c r="L54" s="227"/>
      <c r="M54" s="227"/>
      <c r="N54" s="227"/>
      <c r="O54" s="227"/>
      <c r="P54" s="186" t="s">
        <v>191</v>
      </c>
      <c r="Q54" s="228"/>
    </row>
  </sheetData>
  <conditionalFormatting sqref="P13:P16">
    <cfRule type="cellIs" dxfId="13" priority="7" operator="equal">
      <formula>0</formula>
    </cfRule>
  </conditionalFormatting>
  <conditionalFormatting sqref="J29:P29">
    <cfRule type="expression" dxfId="12" priority="20">
      <formula>$P$30&lt;&gt;""</formula>
    </cfRule>
  </conditionalFormatting>
  <dataValidations disablePrompts="1" count="1">
    <dataValidation type="list" allowBlank="1" showInputMessage="1" showErrorMessage="1" sqref="D30" xr:uid="{B5F7F720-BA5D-42EA-8F74-3F4A77E7ABE9}">
      <formula1>"Anual,Mensual"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8" r:id="rId3" name="Spinner 4">
              <controlPr defaultSize="0" autoPict="0">
                <anchor moveWithCells="1" sizeWithCells="1">
                  <from>
                    <xdr:col>5</xdr:col>
                    <xdr:colOff>76200</xdr:colOff>
                    <xdr:row>11</xdr:row>
                    <xdr:rowOff>127000</xdr:rowOff>
                  </from>
                  <to>
                    <xdr:col>6</xdr:col>
                    <xdr:colOff>12700</xdr:colOff>
                    <xdr:row>14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4" name="Spinner 5">
              <controlPr defaultSize="0" autoPict="0">
                <anchor moveWithCells="1" sizeWithCells="1">
                  <from>
                    <xdr:col>5</xdr:col>
                    <xdr:colOff>76200</xdr:colOff>
                    <xdr:row>8</xdr:row>
                    <xdr:rowOff>127000</xdr:rowOff>
                  </from>
                  <to>
                    <xdr:col>6</xdr:col>
                    <xdr:colOff>12700</xdr:colOff>
                    <xdr:row>11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5" name="Spinner 6">
              <controlPr defaultSize="0" autoPict="0">
                <anchor moveWithCells="1" sizeWithCells="1">
                  <from>
                    <xdr:col>5</xdr:col>
                    <xdr:colOff>76200</xdr:colOff>
                    <xdr:row>17</xdr:row>
                    <xdr:rowOff>69850</xdr:rowOff>
                  </from>
                  <to>
                    <xdr:col>6</xdr:col>
                    <xdr:colOff>6350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C5B9C50-78E4-4F5C-8C2E-FF69BE5013B8}">
          <x14:formula1>
            <xm:f>catalogos!$C$12:$C$13</xm:f>
          </x14:formula1>
          <xm:sqref>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17B2-993E-4BE8-BC02-40EDF7D13BAF}">
  <sheetPr codeName="Sheet6">
    <tabColor rgb="FF0070C0"/>
  </sheetPr>
  <dimension ref="B1:X374"/>
  <sheetViews>
    <sheetView topLeftCell="A12" zoomScale="85" zoomScaleNormal="85" workbookViewId="0">
      <selection activeCell="S43" sqref="S43"/>
    </sheetView>
  </sheetViews>
  <sheetFormatPr defaultRowHeight="14.5" x14ac:dyDescent="0.35"/>
  <cols>
    <col min="1" max="1" width="4.453125" style="1" customWidth="1"/>
    <col min="2" max="2" width="7.36328125" style="1" bestFit="1" customWidth="1"/>
    <col min="3" max="3" width="15.81640625" style="1" bestFit="1" customWidth="1"/>
    <col min="4" max="4" width="20" style="1" bestFit="1" customWidth="1"/>
    <col min="5" max="5" width="15.6328125" style="1" bestFit="1" customWidth="1"/>
    <col min="6" max="6" width="19.1796875" style="1" bestFit="1" customWidth="1"/>
    <col min="7" max="7" width="3.08984375" style="1" customWidth="1"/>
    <col min="8" max="8" width="19.1796875" style="39" bestFit="1" customWidth="1"/>
    <col min="9" max="9" width="12.6328125" style="39" hidden="1" customWidth="1"/>
    <col min="10" max="10" width="20.90625" style="1" hidden="1" customWidth="1"/>
    <col min="11" max="11" width="16.36328125" style="39" bestFit="1" customWidth="1"/>
    <col min="12" max="12" width="22.6328125" style="30" bestFit="1" customWidth="1"/>
    <col min="13" max="13" width="4.81640625" style="30" hidden="1" customWidth="1"/>
    <col min="14" max="14" width="27.90625" style="1" hidden="1" customWidth="1"/>
    <col min="15" max="15" width="14.26953125" style="1" customWidth="1"/>
    <col min="16" max="17" width="13.54296875" style="1" customWidth="1"/>
    <col min="18" max="18" width="8.7265625" style="1"/>
    <col min="19" max="19" width="39.08984375" style="1" bestFit="1" customWidth="1"/>
    <col min="20" max="20" width="13.6328125" style="1" customWidth="1"/>
    <col min="21" max="21" width="8.7265625" style="1"/>
    <col min="22" max="22" width="43.6328125" style="1" bestFit="1" customWidth="1"/>
    <col min="23" max="23" width="10.1796875" style="1" bestFit="1" customWidth="1"/>
    <col min="24" max="24" width="31.36328125" style="1" bestFit="1" customWidth="1"/>
    <col min="25" max="16384" width="8.7265625" style="1"/>
  </cols>
  <sheetData>
    <row r="1" spans="2:24" hidden="1" x14ac:dyDescent="0.35">
      <c r="B1" s="37"/>
      <c r="C1" s="37"/>
      <c r="D1" s="37"/>
      <c r="E1" s="83"/>
      <c r="F1" s="83"/>
      <c r="G1" s="83"/>
      <c r="H1" s="83"/>
      <c r="I1" s="125"/>
      <c r="J1" s="83"/>
      <c r="K1" s="125"/>
      <c r="L1" s="126"/>
      <c r="M1" s="126"/>
      <c r="N1" s="83"/>
      <c r="O1" s="83"/>
      <c r="P1" s="83"/>
      <c r="Q1" s="83"/>
      <c r="S1" s="187" t="s">
        <v>137</v>
      </c>
      <c r="T1" s="187"/>
    </row>
    <row r="2" spans="2:24" ht="14.5" hidden="1" customHeight="1" x14ac:dyDescent="0.35">
      <c r="B2" s="188" t="s">
        <v>214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S2" s="2" t="s">
        <v>0</v>
      </c>
      <c r="T2" s="73">
        <f>Principal!D13</f>
        <v>7.0000000000000007E-2</v>
      </c>
      <c r="V2" s="71" t="s">
        <v>45</v>
      </c>
      <c r="W2" s="72">
        <f>Principal!D23</f>
        <v>4196.1948989862985</v>
      </c>
    </row>
    <row r="3" spans="2:24" ht="14.5" hidden="1" customHeight="1" x14ac:dyDescent="0.35"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188"/>
      <c r="O3" s="188"/>
      <c r="P3" s="188"/>
      <c r="Q3" s="188"/>
      <c r="S3" s="2" t="s">
        <v>1</v>
      </c>
      <c r="T3" s="74">
        <v>12</v>
      </c>
      <c r="V3" s="71" t="s">
        <v>160</v>
      </c>
      <c r="W3" s="115">
        <f>'Property Tax Zillow'!G27</f>
        <v>6.8680892705246278E-3</v>
      </c>
    </row>
    <row r="4" spans="2:24" hidden="1" x14ac:dyDescent="0.35">
      <c r="H4" s="1"/>
      <c r="N4" s="34"/>
      <c r="S4" s="2" t="s">
        <v>2</v>
      </c>
      <c r="T4" s="75">
        <f>T2/T3</f>
        <v>5.8333333333333336E-3</v>
      </c>
      <c r="V4" s="71" t="s">
        <v>49</v>
      </c>
      <c r="W4" s="72">
        <f>Principal!D27</f>
        <v>2966.0630999999998</v>
      </c>
    </row>
    <row r="5" spans="2:24" hidden="1" x14ac:dyDescent="0.35">
      <c r="F5" s="16" t="s">
        <v>36</v>
      </c>
      <c r="H5" s="1"/>
      <c r="N5" s="34"/>
      <c r="S5" s="2" t="s">
        <v>3</v>
      </c>
      <c r="T5" s="74">
        <f>Principal!D11*12</f>
        <v>360</v>
      </c>
      <c r="V5" s="71" t="s">
        <v>50</v>
      </c>
      <c r="W5" s="72">
        <f>W4/12</f>
        <v>247.17192499999999</v>
      </c>
    </row>
    <row r="6" spans="2:24" hidden="1" x14ac:dyDescent="0.35">
      <c r="C6" s="32">
        <f>SUM(C14:C374)</f>
        <v>546460.38866461674</v>
      </c>
      <c r="D6" s="32">
        <f>SUM(D14:D374)</f>
        <v>318301.68866462307</v>
      </c>
      <c r="E6" s="32">
        <f>SUM(E14:E374)</f>
        <v>228158.69999999506</v>
      </c>
      <c r="F6" s="32">
        <f>E6+D6</f>
        <v>546460.38866461813</v>
      </c>
      <c r="H6" s="40">
        <f>SUM(H14:H374)</f>
        <v>139344.43524978653</v>
      </c>
      <c r="K6" s="40">
        <f>SUM(K14:K374)</f>
        <v>6179.2981249999984</v>
      </c>
      <c r="L6" s="81">
        <f>SUM(L14:L374)</f>
        <v>691984.12203940528</v>
      </c>
      <c r="M6" s="16" t="s">
        <v>36</v>
      </c>
      <c r="S6" s="2" t="s">
        <v>4</v>
      </c>
      <c r="T6" s="76">
        <f>Principal!D21</f>
        <v>228158.7</v>
      </c>
      <c r="V6" s="71" t="s">
        <v>161</v>
      </c>
      <c r="W6" s="80">
        <f>Principal!D17*0.2</f>
        <v>54978</v>
      </c>
    </row>
    <row r="7" spans="2:24" hidden="1" x14ac:dyDescent="0.35">
      <c r="C7" s="15" t="s">
        <v>81</v>
      </c>
      <c r="D7" s="16" t="s">
        <v>72</v>
      </c>
      <c r="E7" s="16" t="s">
        <v>73</v>
      </c>
      <c r="F7" s="149" t="s">
        <v>181</v>
      </c>
      <c r="H7" s="41" t="s">
        <v>77</v>
      </c>
      <c r="K7" s="41" t="s">
        <v>78</v>
      </c>
      <c r="L7" s="69" t="s">
        <v>182</v>
      </c>
      <c r="M7" s="32">
        <f>F6+H6+K6</f>
        <v>691984.1220394047</v>
      </c>
      <c r="S7" s="2" t="s">
        <v>15</v>
      </c>
      <c r="T7" s="77">
        <f>1/(1+T4)</f>
        <v>0.99420049710024849</v>
      </c>
      <c r="V7" s="71" t="s">
        <v>163</v>
      </c>
      <c r="W7" s="66">
        <f>L26</f>
        <v>2117.2020107474718</v>
      </c>
    </row>
    <row r="8" spans="2:24" hidden="1" x14ac:dyDescent="0.35">
      <c r="C8" s="17" t="s">
        <v>10</v>
      </c>
      <c r="D8" s="14"/>
      <c r="G8" s="27"/>
      <c r="L8" s="1"/>
      <c r="M8" s="124" t="s">
        <v>180</v>
      </c>
      <c r="S8" s="2" t="s">
        <v>178</v>
      </c>
      <c r="T8" s="78">
        <f>(1-T7^T5)/T4</f>
        <v>150.30756794782144</v>
      </c>
      <c r="V8" s="71" t="s">
        <v>164</v>
      </c>
      <c r="W8" s="66">
        <f>W7-W5</f>
        <v>1870.0300857474717</v>
      </c>
    </row>
    <row r="9" spans="2:24" hidden="1" x14ac:dyDescent="0.35">
      <c r="C9" s="17" t="s">
        <v>74</v>
      </c>
      <c r="F9" s="27"/>
      <c r="G9" s="27"/>
      <c r="S9" s="2" t="s">
        <v>179</v>
      </c>
      <c r="T9" s="79">
        <f>T6/T8</f>
        <v>1517.9455240683837</v>
      </c>
    </row>
    <row r="10" spans="2:24" hidden="1" x14ac:dyDescent="0.35">
      <c r="C10" s="18" t="s">
        <v>75</v>
      </c>
      <c r="F10" s="27"/>
      <c r="G10" s="27"/>
      <c r="M10" s="82"/>
    </row>
    <row r="11" spans="2:24" hidden="1" x14ac:dyDescent="0.35">
      <c r="C11" s="26"/>
      <c r="F11" s="27"/>
      <c r="G11" s="27"/>
      <c r="M11" s="82"/>
    </row>
    <row r="12" spans="2:24" ht="33.5" customHeight="1" x14ac:dyDescent="0.75">
      <c r="B12" s="148" t="s">
        <v>186</v>
      </c>
      <c r="C12" s="145"/>
      <c r="D12" s="145"/>
      <c r="E12" s="145"/>
      <c r="F12" s="145"/>
      <c r="G12" s="27"/>
      <c r="H12" s="148" t="s">
        <v>215</v>
      </c>
      <c r="I12" s="146"/>
      <c r="J12" s="146"/>
      <c r="K12" s="146"/>
      <c r="O12" s="148" t="s">
        <v>216</v>
      </c>
      <c r="P12" s="147"/>
    </row>
    <row r="13" spans="2:24" ht="58" x14ac:dyDescent="0.35">
      <c r="B13" s="9" t="s">
        <v>184</v>
      </c>
      <c r="C13" s="9" t="s">
        <v>32</v>
      </c>
      <c r="D13" s="9" t="s">
        <v>80</v>
      </c>
      <c r="E13" s="9" t="s">
        <v>217</v>
      </c>
      <c r="F13" s="9" t="s">
        <v>142</v>
      </c>
      <c r="H13" s="123" t="s">
        <v>162</v>
      </c>
      <c r="I13" s="116" t="s">
        <v>144</v>
      </c>
      <c r="J13" s="117" t="s">
        <v>165</v>
      </c>
      <c r="K13" s="9" t="s">
        <v>79</v>
      </c>
      <c r="L13" s="144" t="s">
        <v>183</v>
      </c>
      <c r="M13" s="8" t="s">
        <v>185</v>
      </c>
      <c r="N13" s="9" t="s">
        <v>266</v>
      </c>
      <c r="O13" s="9" t="s">
        <v>138</v>
      </c>
      <c r="P13" s="9" t="s">
        <v>139</v>
      </c>
      <c r="Q13" s="164" t="s">
        <v>167</v>
      </c>
      <c r="W13" s="27"/>
    </row>
    <row r="14" spans="2:24" x14ac:dyDescent="0.35">
      <c r="B14" s="10">
        <v>0</v>
      </c>
      <c r="C14" s="11">
        <v>0</v>
      </c>
      <c r="D14" s="11">
        <v>0</v>
      </c>
      <c r="E14" s="11">
        <v>0</v>
      </c>
      <c r="F14" s="11">
        <f>T6</f>
        <v>228158.7</v>
      </c>
      <c r="H14" s="112">
        <v>0</v>
      </c>
      <c r="I14" s="68">
        <v>0</v>
      </c>
      <c r="J14" s="43">
        <f>SUM(I14)</f>
        <v>0</v>
      </c>
      <c r="K14" s="11">
        <v>0</v>
      </c>
      <c r="L14" s="5">
        <v>0</v>
      </c>
      <c r="M14" s="10">
        <f>ROUNDDOWN(B14/12,0)</f>
        <v>0</v>
      </c>
      <c r="N14" s="189">
        <f>SUM(L14:L25)</f>
        <v>23262.803930489667</v>
      </c>
      <c r="O14" s="130">
        <f>IF(Principal!$D$30="Anual",IF(MOD(B14+1,12)=0,VLOOKUP(M14,'Flujos Anuales'!$B$8:$K$39,9),0),VLOOKUP(M14,'Flujos Anuales'!$B$8:$K$39,9)/12)</f>
        <v>0</v>
      </c>
      <c r="P14" s="114">
        <v>0</v>
      </c>
      <c r="Q14" s="120">
        <f>L14+O14+P14</f>
        <v>0</v>
      </c>
      <c r="W14" s="27"/>
      <c r="X14" s="14"/>
    </row>
    <row r="15" spans="2:24" x14ac:dyDescent="0.35">
      <c r="B15" s="10">
        <v>1</v>
      </c>
      <c r="C15" s="11">
        <f t="shared" ref="C15:C78" si="0">$T$9</f>
        <v>1517.9455240683837</v>
      </c>
      <c r="D15" s="11">
        <f t="shared" ref="D15:D78" si="1">F14*$T$4</f>
        <v>1330.9257500000001</v>
      </c>
      <c r="E15" s="11">
        <f>C15-D15</f>
        <v>187.01977406838364</v>
      </c>
      <c r="F15" s="11">
        <f>F14-E15</f>
        <v>227971.68022593163</v>
      </c>
      <c r="H15" s="120">
        <f>IF(Principal!$D$25="Anual",IF(MOD(B15+1,12)=0,$W$2*((1+$W$3)^M15),0),$W$2*((1+$W$3)^M15)/12)</f>
        <v>349.68290824885821</v>
      </c>
      <c r="I15" s="68">
        <f t="shared" ref="I15:I78" si="2">C15+H15+$W$5</f>
        <v>2114.8003573172418</v>
      </c>
      <c r="J15" s="43">
        <f>SUM($I$14:I15)</f>
        <v>2114.8003573172418</v>
      </c>
      <c r="K15" s="11">
        <f t="shared" ref="K15:K78" si="3">IF(J15&gt;=$W$6,0,$W$5)</f>
        <v>247.17192499999999</v>
      </c>
      <c r="L15" s="5">
        <f t="shared" ref="L15:L78" si="4">IF(K15=$W$5,I15,I15-$W$5)</f>
        <v>2114.8003573172418</v>
      </c>
      <c r="M15" s="10">
        <f t="shared" ref="M15:M78" si="5">ROUNDDOWN(B15/12,0)</f>
        <v>0</v>
      </c>
      <c r="N15" s="189"/>
      <c r="O15" s="130">
        <f>IF(Principal!$D$30="Anual",IF(MOD(B15+1,12)=0,VLOOKUP(M15,'Flujos Anuales'!$B$8:$K$39,9),0),VLOOKUP(M15,'Flujos Anuales'!$B$8:$K$39,9)/12)</f>
        <v>0</v>
      </c>
      <c r="P15" s="120">
        <f>VLOOKUP(M15,'Flujos Anuales'!$B$8:$K$39,10)/12</f>
        <v>34.75</v>
      </c>
      <c r="Q15" s="120">
        <f t="shared" ref="Q15:Q78" si="6">L15+O15+P15</f>
        <v>2149.5503573172418</v>
      </c>
    </row>
    <row r="16" spans="2:24" x14ac:dyDescent="0.35">
      <c r="B16" s="10">
        <v>2</v>
      </c>
      <c r="C16" s="11">
        <f t="shared" si="0"/>
        <v>1517.9455240683837</v>
      </c>
      <c r="D16" s="11">
        <f t="shared" si="1"/>
        <v>1329.8348013179345</v>
      </c>
      <c r="E16" s="11">
        <f t="shared" ref="E16:E79" si="7">C16-D16</f>
        <v>188.11072275044921</v>
      </c>
      <c r="F16" s="11">
        <f t="shared" ref="F16:F79" si="8">F15-E16</f>
        <v>227783.56950318118</v>
      </c>
      <c r="H16" s="129">
        <f>IF(Principal!$D$25="Anual",IF(MOD(B16+1,12)=0,$W$2*((1+$W$3)^M16),0),$W$2*((1+$W$3)^M16)/12)</f>
        <v>349.68290824885821</v>
      </c>
      <c r="I16" s="68">
        <f t="shared" si="2"/>
        <v>2114.8003573172418</v>
      </c>
      <c r="J16" s="43">
        <f>SUM($I$14:I16)</f>
        <v>4229.6007146344837</v>
      </c>
      <c r="K16" s="11">
        <f t="shared" si="3"/>
        <v>247.17192499999999</v>
      </c>
      <c r="L16" s="5">
        <f t="shared" si="4"/>
        <v>2114.8003573172418</v>
      </c>
      <c r="M16" s="10">
        <f t="shared" si="5"/>
        <v>0</v>
      </c>
      <c r="N16" s="189"/>
      <c r="O16" s="130">
        <f>IF(Principal!$D$30="Anual",IF(MOD(B16+1,12)=0,VLOOKUP(M16,'Flujos Anuales'!$B$8:$K$39,9),0),VLOOKUP(M16,'Flujos Anuales'!$B$8:$K$39,9)/12)</f>
        <v>0</v>
      </c>
      <c r="P16" s="120">
        <f>VLOOKUP(M16,'Flujos Anuales'!$B$8:$K$39,10)/12</f>
        <v>34.75</v>
      </c>
      <c r="Q16" s="120">
        <f t="shared" si="6"/>
        <v>2149.5503573172418</v>
      </c>
    </row>
    <row r="17" spans="2:19" x14ac:dyDescent="0.35">
      <c r="B17" s="10">
        <v>3</v>
      </c>
      <c r="C17" s="11">
        <f t="shared" si="0"/>
        <v>1517.9455240683837</v>
      </c>
      <c r="D17" s="11">
        <f t="shared" si="1"/>
        <v>1328.7374887685569</v>
      </c>
      <c r="E17" s="11">
        <f t="shared" si="7"/>
        <v>189.20803529982686</v>
      </c>
      <c r="F17" s="11">
        <f t="shared" si="8"/>
        <v>227594.36146788136</v>
      </c>
      <c r="H17" s="129">
        <f>IF(Principal!$D$25="Anual",IF(MOD(B17+1,12)=0,$W$2*((1+$W$3)^M17),0),$W$2*((1+$W$3)^M17)/12)</f>
        <v>349.68290824885821</v>
      </c>
      <c r="I17" s="68">
        <f t="shared" si="2"/>
        <v>2114.8003573172418</v>
      </c>
      <c r="J17" s="43">
        <f>SUM($I$14:I17)</f>
        <v>6344.4010719517255</v>
      </c>
      <c r="K17" s="11">
        <f t="shared" si="3"/>
        <v>247.17192499999999</v>
      </c>
      <c r="L17" s="5">
        <f t="shared" si="4"/>
        <v>2114.8003573172418</v>
      </c>
      <c r="M17" s="10">
        <f t="shared" si="5"/>
        <v>0</v>
      </c>
      <c r="N17" s="189"/>
      <c r="O17" s="130">
        <f>IF(Principal!$D$30="Anual",IF(MOD(B17+1,12)=0,VLOOKUP(M17,'Flujos Anuales'!$B$8:$K$39,9),0),VLOOKUP(M17,'Flujos Anuales'!$B$8:$K$39,9)/12)</f>
        <v>0</v>
      </c>
      <c r="P17" s="120">
        <f>VLOOKUP(M17,'Flujos Anuales'!$B$8:$K$39,10)/12</f>
        <v>34.75</v>
      </c>
      <c r="Q17" s="120">
        <f t="shared" si="6"/>
        <v>2149.5503573172418</v>
      </c>
    </row>
    <row r="18" spans="2:19" x14ac:dyDescent="0.35">
      <c r="B18" s="10">
        <v>4</v>
      </c>
      <c r="C18" s="11">
        <f t="shared" si="0"/>
        <v>1517.9455240683837</v>
      </c>
      <c r="D18" s="11">
        <f t="shared" si="1"/>
        <v>1327.633775229308</v>
      </c>
      <c r="E18" s="11">
        <f t="shared" si="7"/>
        <v>190.31174883907579</v>
      </c>
      <c r="F18" s="11">
        <f t="shared" si="8"/>
        <v>227404.04971904229</v>
      </c>
      <c r="H18" s="129">
        <f>IF(Principal!$D$25="Anual",IF(MOD(B18+1,12)=0,$W$2*((1+$W$3)^M18),0),$W$2*((1+$W$3)^M18)/12)</f>
        <v>349.68290824885821</v>
      </c>
      <c r="I18" s="68">
        <f t="shared" si="2"/>
        <v>2114.8003573172418</v>
      </c>
      <c r="J18" s="43">
        <f>SUM($I$14:I18)</f>
        <v>8459.2014292689673</v>
      </c>
      <c r="K18" s="11">
        <f t="shared" si="3"/>
        <v>247.17192499999999</v>
      </c>
      <c r="L18" s="5">
        <f t="shared" si="4"/>
        <v>2114.8003573172418</v>
      </c>
      <c r="M18" s="10">
        <f t="shared" si="5"/>
        <v>0</v>
      </c>
      <c r="N18" s="189"/>
      <c r="O18" s="130">
        <f>IF(Principal!$D$30="Anual",IF(MOD(B18+1,12)=0,VLOOKUP(M18,'Flujos Anuales'!$B$8:$K$39,9),0),VLOOKUP(M18,'Flujos Anuales'!$B$8:$K$39,9)/12)</f>
        <v>0</v>
      </c>
      <c r="P18" s="120">
        <f>VLOOKUP(M18,'Flujos Anuales'!$B$8:$K$39,10)/12</f>
        <v>34.75</v>
      </c>
      <c r="Q18" s="120">
        <f t="shared" si="6"/>
        <v>2149.5503573172418</v>
      </c>
    </row>
    <row r="19" spans="2:19" x14ac:dyDescent="0.35">
      <c r="B19" s="10">
        <v>5</v>
      </c>
      <c r="C19" s="11">
        <f t="shared" si="0"/>
        <v>1517.9455240683837</v>
      </c>
      <c r="D19" s="11">
        <f t="shared" si="1"/>
        <v>1326.5236233610801</v>
      </c>
      <c r="E19" s="11">
        <f t="shared" si="7"/>
        <v>191.42190070730362</v>
      </c>
      <c r="F19" s="11">
        <f t="shared" si="8"/>
        <v>227212.62781833499</v>
      </c>
      <c r="H19" s="129">
        <f>IF(Principal!$D$25="Anual",IF(MOD(B19+1,12)=0,$W$2*((1+$W$3)^M19),0),$W$2*((1+$W$3)^M19)/12)</f>
        <v>349.68290824885821</v>
      </c>
      <c r="I19" s="68">
        <f t="shared" si="2"/>
        <v>2114.8003573172418</v>
      </c>
      <c r="J19" s="43">
        <f>SUM($I$14:I19)</f>
        <v>10574.00178658621</v>
      </c>
      <c r="K19" s="11">
        <f t="shared" si="3"/>
        <v>247.17192499999999</v>
      </c>
      <c r="L19" s="5">
        <f t="shared" si="4"/>
        <v>2114.8003573172418</v>
      </c>
      <c r="M19" s="10">
        <f t="shared" si="5"/>
        <v>0</v>
      </c>
      <c r="N19" s="189"/>
      <c r="O19" s="130">
        <f>IF(Principal!$D$30="Anual",IF(MOD(B19+1,12)=0,VLOOKUP(M19,'Flujos Anuales'!$B$8:$K$39,9),0),VLOOKUP(M19,'Flujos Anuales'!$B$8:$K$39,9)/12)</f>
        <v>0</v>
      </c>
      <c r="P19" s="120">
        <f>VLOOKUP(M19,'Flujos Anuales'!$B$8:$K$39,10)/12</f>
        <v>34.75</v>
      </c>
      <c r="Q19" s="120">
        <f t="shared" si="6"/>
        <v>2149.5503573172418</v>
      </c>
    </row>
    <row r="20" spans="2:19" x14ac:dyDescent="0.35">
      <c r="B20" s="10">
        <v>6</v>
      </c>
      <c r="C20" s="11">
        <f t="shared" si="0"/>
        <v>1517.9455240683837</v>
      </c>
      <c r="D20" s="11">
        <f t="shared" si="1"/>
        <v>1325.4069956069543</v>
      </c>
      <c r="E20" s="11">
        <f t="shared" si="7"/>
        <v>192.53852846142945</v>
      </c>
      <c r="F20" s="11">
        <f t="shared" si="8"/>
        <v>227020.08928987358</v>
      </c>
      <c r="H20" s="129">
        <f>IF(Principal!$D$25="Anual",IF(MOD(B20+1,12)=0,$W$2*((1+$W$3)^M20),0),$W$2*((1+$W$3)^M20)/12)</f>
        <v>349.68290824885821</v>
      </c>
      <c r="I20" s="68">
        <f t="shared" si="2"/>
        <v>2114.8003573172418</v>
      </c>
      <c r="J20" s="43">
        <f>SUM($I$14:I20)</f>
        <v>12688.802143903453</v>
      </c>
      <c r="K20" s="11">
        <f t="shared" si="3"/>
        <v>247.17192499999999</v>
      </c>
      <c r="L20" s="5">
        <f t="shared" si="4"/>
        <v>2114.8003573172418</v>
      </c>
      <c r="M20" s="10">
        <f t="shared" si="5"/>
        <v>0</v>
      </c>
      <c r="N20" s="189"/>
      <c r="O20" s="130">
        <f>IF(Principal!$D$30="Anual",IF(MOD(B20+1,12)=0,VLOOKUP(M20,'Flujos Anuales'!$B$8:$K$39,9),0),VLOOKUP(M20,'Flujos Anuales'!$B$8:$K$39,9)/12)</f>
        <v>0</v>
      </c>
      <c r="P20" s="120">
        <f>VLOOKUP(M20,'Flujos Anuales'!$B$8:$K$39,10)/12</f>
        <v>34.75</v>
      </c>
      <c r="Q20" s="120">
        <f t="shared" si="6"/>
        <v>2149.5503573172418</v>
      </c>
    </row>
    <row r="21" spans="2:19" x14ac:dyDescent="0.35">
      <c r="B21" s="10">
        <v>7</v>
      </c>
      <c r="C21" s="11">
        <f t="shared" si="0"/>
        <v>1517.9455240683837</v>
      </c>
      <c r="D21" s="11">
        <f t="shared" si="1"/>
        <v>1324.2838541909293</v>
      </c>
      <c r="E21" s="11">
        <f t="shared" si="7"/>
        <v>193.66166987745441</v>
      </c>
      <c r="F21" s="11">
        <f t="shared" si="8"/>
        <v>226826.42761999613</v>
      </c>
      <c r="H21" s="129">
        <f>IF(Principal!$D$25="Anual",IF(MOD(B21+1,12)=0,$W$2*((1+$W$3)^M21),0),$W$2*((1+$W$3)^M21)/12)</f>
        <v>349.68290824885821</v>
      </c>
      <c r="I21" s="68">
        <f t="shared" si="2"/>
        <v>2114.8003573172418</v>
      </c>
      <c r="J21" s="43">
        <f>SUM($I$14:I21)</f>
        <v>14803.602501220696</v>
      </c>
      <c r="K21" s="11">
        <f t="shared" si="3"/>
        <v>247.17192499999999</v>
      </c>
      <c r="L21" s="5">
        <f t="shared" si="4"/>
        <v>2114.8003573172418</v>
      </c>
      <c r="M21" s="10">
        <f t="shared" si="5"/>
        <v>0</v>
      </c>
      <c r="N21" s="189"/>
      <c r="O21" s="130">
        <f>IF(Principal!$D$30="Anual",IF(MOD(B21+1,12)=0,VLOOKUP(M21,'Flujos Anuales'!$B$8:$K$39,9),0),VLOOKUP(M21,'Flujos Anuales'!$B$8:$K$39,9)/12)</f>
        <v>0</v>
      </c>
      <c r="P21" s="120">
        <f>VLOOKUP(M21,'Flujos Anuales'!$B$8:$K$39,10)/12</f>
        <v>34.75</v>
      </c>
      <c r="Q21" s="120">
        <f t="shared" si="6"/>
        <v>2149.5503573172418</v>
      </c>
    </row>
    <row r="22" spans="2:19" x14ac:dyDescent="0.35">
      <c r="B22" s="10">
        <v>8</v>
      </c>
      <c r="C22" s="11">
        <f t="shared" si="0"/>
        <v>1517.9455240683837</v>
      </c>
      <c r="D22" s="11">
        <f t="shared" si="1"/>
        <v>1323.1541611166442</v>
      </c>
      <c r="E22" s="11">
        <f t="shared" si="7"/>
        <v>194.79136295173953</v>
      </c>
      <c r="F22" s="11">
        <f t="shared" si="8"/>
        <v>226631.63625704439</v>
      </c>
      <c r="H22" s="129">
        <f>IF(Principal!$D$25="Anual",IF(MOD(B22+1,12)=0,$W$2*((1+$W$3)^M22),0),$W$2*((1+$W$3)^M22)/12)</f>
        <v>349.68290824885821</v>
      </c>
      <c r="I22" s="68">
        <f t="shared" si="2"/>
        <v>2114.8003573172418</v>
      </c>
      <c r="J22" s="43">
        <f>SUM($I$14:I22)</f>
        <v>16918.402858537938</v>
      </c>
      <c r="K22" s="11">
        <f t="shared" si="3"/>
        <v>247.17192499999999</v>
      </c>
      <c r="L22" s="5">
        <f t="shared" si="4"/>
        <v>2114.8003573172418</v>
      </c>
      <c r="M22" s="10">
        <f t="shared" si="5"/>
        <v>0</v>
      </c>
      <c r="N22" s="189"/>
      <c r="O22" s="130">
        <f>IF(Principal!$D$30="Anual",IF(MOD(B22+1,12)=0,VLOOKUP(M22,'Flujos Anuales'!$B$8:$K$39,9),0),VLOOKUP(M22,'Flujos Anuales'!$B$8:$K$39,9)/12)</f>
        <v>0</v>
      </c>
      <c r="P22" s="120">
        <f>VLOOKUP(M22,'Flujos Anuales'!$B$8:$K$39,10)/12</f>
        <v>34.75</v>
      </c>
      <c r="Q22" s="120">
        <f t="shared" si="6"/>
        <v>2149.5503573172418</v>
      </c>
      <c r="S22" s="27"/>
    </row>
    <row r="23" spans="2:19" x14ac:dyDescent="0.35">
      <c r="B23" s="10">
        <v>9</v>
      </c>
      <c r="C23" s="11">
        <f t="shared" si="0"/>
        <v>1517.9455240683837</v>
      </c>
      <c r="D23" s="11">
        <f t="shared" si="1"/>
        <v>1322.0178781660923</v>
      </c>
      <c r="E23" s="11">
        <f t="shared" si="7"/>
        <v>195.92764590229149</v>
      </c>
      <c r="F23" s="11">
        <f t="shared" si="8"/>
        <v>226435.70861114209</v>
      </c>
      <c r="H23" s="129">
        <f>IF(Principal!$D$25="Anual",IF(MOD(B23+1,12)=0,$W$2*((1+$W$3)^M23),0),$W$2*((1+$W$3)^M23)/12)</f>
        <v>349.68290824885821</v>
      </c>
      <c r="I23" s="68">
        <f t="shared" si="2"/>
        <v>2114.8003573172418</v>
      </c>
      <c r="J23" s="43">
        <f>SUM($I$14:I23)</f>
        <v>19033.203215855181</v>
      </c>
      <c r="K23" s="11">
        <f t="shared" si="3"/>
        <v>247.17192499999999</v>
      </c>
      <c r="L23" s="5">
        <f t="shared" si="4"/>
        <v>2114.8003573172418</v>
      </c>
      <c r="M23" s="10">
        <f t="shared" si="5"/>
        <v>0</v>
      </c>
      <c r="N23" s="189"/>
      <c r="O23" s="130">
        <f>IF(Principal!$D$30="Anual",IF(MOD(B23+1,12)=0,VLOOKUP(M23,'Flujos Anuales'!$B$8:$K$39,9),0),VLOOKUP(M23,'Flujos Anuales'!$B$8:$K$39,9)/12)</f>
        <v>0</v>
      </c>
      <c r="P23" s="120">
        <f>VLOOKUP(M23,'Flujos Anuales'!$B$8:$K$39,10)/12</f>
        <v>34.75</v>
      </c>
      <c r="Q23" s="120">
        <f t="shared" si="6"/>
        <v>2149.5503573172418</v>
      </c>
      <c r="S23" s="27"/>
    </row>
    <row r="24" spans="2:19" x14ac:dyDescent="0.35">
      <c r="B24" s="10">
        <v>10</v>
      </c>
      <c r="C24" s="11">
        <f t="shared" si="0"/>
        <v>1517.9455240683837</v>
      </c>
      <c r="D24" s="11">
        <f t="shared" si="1"/>
        <v>1320.8749668983289</v>
      </c>
      <c r="E24" s="11">
        <f t="shared" si="7"/>
        <v>197.07055717005483</v>
      </c>
      <c r="F24" s="11">
        <f t="shared" si="8"/>
        <v>226238.63805397204</v>
      </c>
      <c r="H24" s="129">
        <f>IF(Principal!$D$25="Anual",IF(MOD(B24+1,12)=0,$W$2*((1+$W$3)^M24),0),$W$2*((1+$W$3)^M24)/12)</f>
        <v>349.68290824885821</v>
      </c>
      <c r="I24" s="68">
        <f t="shared" si="2"/>
        <v>2114.8003573172418</v>
      </c>
      <c r="J24" s="43">
        <f>SUM($I$14:I24)</f>
        <v>21148.003573172424</v>
      </c>
      <c r="K24" s="11">
        <f t="shared" si="3"/>
        <v>247.17192499999999</v>
      </c>
      <c r="L24" s="5">
        <f t="shared" si="4"/>
        <v>2114.8003573172418</v>
      </c>
      <c r="M24" s="10">
        <f t="shared" ref="M24:M30" si="9">ROUNDDOWN(B24/12,0)</f>
        <v>0</v>
      </c>
      <c r="N24" s="189"/>
      <c r="O24" s="130">
        <f>IF(Principal!$D$30="Anual",IF(MOD(B24+1,12)=0,VLOOKUP(M24,'Flujos Anuales'!$B$8:$K$39,9),0),VLOOKUP(M24,'Flujos Anuales'!$B$8:$K$39,9)/12)</f>
        <v>0</v>
      </c>
      <c r="P24" s="120">
        <f>VLOOKUP(M24,'Flujos Anuales'!$B$8:$K$39,10)/12</f>
        <v>34.75</v>
      </c>
      <c r="Q24" s="120">
        <f t="shared" si="6"/>
        <v>2149.5503573172418</v>
      </c>
    </row>
    <row r="25" spans="2:19" x14ac:dyDescent="0.35">
      <c r="B25" s="10">
        <v>11</v>
      </c>
      <c r="C25" s="11">
        <f t="shared" si="0"/>
        <v>1517.9455240683837</v>
      </c>
      <c r="D25" s="11">
        <f t="shared" si="1"/>
        <v>1319.7253886481703</v>
      </c>
      <c r="E25" s="11">
        <f t="shared" si="7"/>
        <v>198.22013542021341</v>
      </c>
      <c r="F25" s="11">
        <f t="shared" si="8"/>
        <v>226040.41791855183</v>
      </c>
      <c r="H25" s="129">
        <f>IF(Principal!$D$25="Anual",IF(MOD(B25+1,12)=0,$W$2*((1+$W$3)^M25),0),$W$2*((1+$W$3)^M25)/12)</f>
        <v>349.68290824885821</v>
      </c>
      <c r="I25" s="68">
        <f t="shared" si="2"/>
        <v>2114.8003573172418</v>
      </c>
      <c r="J25" s="43">
        <f>SUM($I$14:I25)</f>
        <v>23262.803930489667</v>
      </c>
      <c r="K25" s="11">
        <f t="shared" si="3"/>
        <v>247.17192499999999</v>
      </c>
      <c r="L25" s="5">
        <f t="shared" si="4"/>
        <v>2114.8003573172418</v>
      </c>
      <c r="M25" s="10">
        <f t="shared" si="9"/>
        <v>0</v>
      </c>
      <c r="N25" s="189"/>
      <c r="O25" s="130">
        <f>IF(Principal!$D$30="Anual",IF(MOD(B25+1,12)=0,VLOOKUP(M25,'Flujos Anuales'!$B$8:$K$39,9),0),VLOOKUP(M25,'Flujos Anuales'!$B$8:$K$39,9)/12)</f>
        <v>0</v>
      </c>
      <c r="P25" s="120">
        <f>VLOOKUP(M25,'Flujos Anuales'!$B$8:$K$39,10)/12</f>
        <v>34.75</v>
      </c>
      <c r="Q25" s="120">
        <f t="shared" si="6"/>
        <v>2149.5503573172418</v>
      </c>
    </row>
    <row r="26" spans="2:19" ht="17.5" customHeight="1" x14ac:dyDescent="0.35">
      <c r="B26" s="10">
        <v>12</v>
      </c>
      <c r="C26" s="11">
        <f t="shared" si="0"/>
        <v>1517.9455240683837</v>
      </c>
      <c r="D26" s="11">
        <f t="shared" si="1"/>
        <v>1318.5691045248857</v>
      </c>
      <c r="E26" s="11">
        <f t="shared" si="7"/>
        <v>199.37641954349806</v>
      </c>
      <c r="F26" s="11">
        <f t="shared" si="8"/>
        <v>225841.04149900834</v>
      </c>
      <c r="H26" s="129">
        <f>IF(Principal!$D$25="Anual",IF(MOD(B26+1,12)=0,$W$2*((1+$W$3)^M26),0),$W$2*((1+$W$3)^M26)/12)</f>
        <v>352.08456167908804</v>
      </c>
      <c r="I26" s="68">
        <f t="shared" si="2"/>
        <v>2117.2020107474718</v>
      </c>
      <c r="J26" s="43">
        <f>SUM($I$14:I26)</f>
        <v>25380.005941237137</v>
      </c>
      <c r="K26" s="11">
        <f t="shared" si="3"/>
        <v>247.17192499999999</v>
      </c>
      <c r="L26" s="5">
        <f t="shared" si="4"/>
        <v>2117.2020107474718</v>
      </c>
      <c r="M26" s="10">
        <f t="shared" si="9"/>
        <v>1</v>
      </c>
      <c r="N26" s="189">
        <f>SUM(L26:L37)</f>
        <v>25406.424128969655</v>
      </c>
      <c r="O26" s="130">
        <f>IF(Principal!$D$30="Anual",IF(MOD(B26+1,12)=0,VLOOKUP(M26,'Flujos Anuales'!$B$8:$K$39,9),0),VLOOKUP(M26,'Flujos Anuales'!$B$8:$K$39,9)/12)</f>
        <v>217.76179069805394</v>
      </c>
      <c r="P26" s="120">
        <f>VLOOKUP(M26,'Flujos Anuales'!$B$8:$K$39,10)/12</f>
        <v>35.097500000000004</v>
      </c>
      <c r="Q26" s="120">
        <f t="shared" si="6"/>
        <v>2370.0613014455257</v>
      </c>
    </row>
    <row r="27" spans="2:19" x14ac:dyDescent="0.35">
      <c r="B27" s="10">
        <v>13</v>
      </c>
      <c r="C27" s="11">
        <f t="shared" si="0"/>
        <v>1517.9455240683837</v>
      </c>
      <c r="D27" s="11">
        <f t="shared" si="1"/>
        <v>1317.4060754108821</v>
      </c>
      <c r="E27" s="11">
        <f t="shared" si="7"/>
        <v>200.53944865750168</v>
      </c>
      <c r="F27" s="11">
        <f t="shared" si="8"/>
        <v>225640.50205035083</v>
      </c>
      <c r="H27" s="129">
        <f>IF(Principal!$D$25="Anual",IF(MOD(B27+1,12)=0,$W$2*((1+$W$3)^M27),0),$W$2*((1+$W$3)^M27)/12)</f>
        <v>352.08456167908804</v>
      </c>
      <c r="I27" s="68">
        <f t="shared" si="2"/>
        <v>2117.2020107474718</v>
      </c>
      <c r="J27" s="43">
        <f>SUM($I$14:I27)</f>
        <v>27497.207951984608</v>
      </c>
      <c r="K27" s="11">
        <f t="shared" si="3"/>
        <v>247.17192499999999</v>
      </c>
      <c r="L27" s="5">
        <f t="shared" si="4"/>
        <v>2117.2020107474718</v>
      </c>
      <c r="M27" s="10">
        <f t="shared" si="9"/>
        <v>1</v>
      </c>
      <c r="N27" s="189"/>
      <c r="O27" s="130">
        <f>IF(Principal!$D$30="Anual",IF(MOD(B27+1,12)=0,VLOOKUP(M27,'Flujos Anuales'!$B$8:$K$39,9),0),VLOOKUP(M27,'Flujos Anuales'!$B$8:$K$39,9)/12)</f>
        <v>217.76179069805394</v>
      </c>
      <c r="P27" s="120">
        <f>VLOOKUP(M27,'Flujos Anuales'!$B$8:$K$39,10)/12</f>
        <v>35.097500000000004</v>
      </c>
      <c r="Q27" s="120">
        <f t="shared" si="6"/>
        <v>2370.0613014455257</v>
      </c>
    </row>
    <row r="28" spans="2:19" x14ac:dyDescent="0.35">
      <c r="B28" s="10">
        <v>14</v>
      </c>
      <c r="C28" s="11">
        <f t="shared" si="0"/>
        <v>1517.9455240683837</v>
      </c>
      <c r="D28" s="11">
        <f t="shared" si="1"/>
        <v>1316.2362619603798</v>
      </c>
      <c r="E28" s="11">
        <f t="shared" si="7"/>
        <v>201.70926210800394</v>
      </c>
      <c r="F28" s="11">
        <f t="shared" si="8"/>
        <v>225438.79278824283</v>
      </c>
      <c r="H28" s="129">
        <f>IF(Principal!$D$25="Anual",IF(MOD(B28+1,12)=0,$W$2*((1+$W$3)^M28),0),$W$2*((1+$W$3)^M28)/12)</f>
        <v>352.08456167908804</v>
      </c>
      <c r="I28" s="68">
        <f t="shared" si="2"/>
        <v>2117.2020107474718</v>
      </c>
      <c r="J28" s="43">
        <f>SUM($I$14:I28)</f>
        <v>29614.409962732079</v>
      </c>
      <c r="K28" s="11">
        <f t="shared" si="3"/>
        <v>247.17192499999999</v>
      </c>
      <c r="L28" s="5">
        <f t="shared" si="4"/>
        <v>2117.2020107474718</v>
      </c>
      <c r="M28" s="10">
        <f t="shared" si="9"/>
        <v>1</v>
      </c>
      <c r="N28" s="189"/>
      <c r="O28" s="130">
        <f>IF(Principal!$D$30="Anual",IF(MOD(B28+1,12)=0,VLOOKUP(M28,'Flujos Anuales'!$B$8:$K$39,9),0),VLOOKUP(M28,'Flujos Anuales'!$B$8:$K$39,9)/12)</f>
        <v>217.76179069805394</v>
      </c>
      <c r="P28" s="120">
        <f>VLOOKUP(M28,'Flujos Anuales'!$B$8:$K$39,10)/12</f>
        <v>35.097500000000004</v>
      </c>
      <c r="Q28" s="120">
        <f t="shared" si="6"/>
        <v>2370.0613014455257</v>
      </c>
    </row>
    <row r="29" spans="2:19" x14ac:dyDescent="0.35">
      <c r="B29" s="10">
        <v>15</v>
      </c>
      <c r="C29" s="11">
        <f t="shared" si="0"/>
        <v>1517.9455240683837</v>
      </c>
      <c r="D29" s="11">
        <f t="shared" si="1"/>
        <v>1315.0596245980832</v>
      </c>
      <c r="E29" s="11">
        <f t="shared" si="7"/>
        <v>202.8858994703005</v>
      </c>
      <c r="F29" s="11">
        <f t="shared" si="8"/>
        <v>225235.90688877253</v>
      </c>
      <c r="H29" s="129">
        <f>IF(Principal!$D$25="Anual",IF(MOD(B29+1,12)=0,$W$2*((1+$W$3)^M29),0),$W$2*((1+$W$3)^M29)/12)</f>
        <v>352.08456167908804</v>
      </c>
      <c r="I29" s="68">
        <f t="shared" si="2"/>
        <v>2117.2020107474718</v>
      </c>
      <c r="J29" s="43">
        <f>SUM($I$14:I29)</f>
        <v>31731.61197347955</v>
      </c>
      <c r="K29" s="11">
        <f t="shared" si="3"/>
        <v>247.17192499999999</v>
      </c>
      <c r="L29" s="5">
        <f t="shared" si="4"/>
        <v>2117.2020107474718</v>
      </c>
      <c r="M29" s="10">
        <f t="shared" si="9"/>
        <v>1</v>
      </c>
      <c r="N29" s="189"/>
      <c r="O29" s="130">
        <f>IF(Principal!$D$30="Anual",IF(MOD(B29+1,12)=0,VLOOKUP(M29,'Flujos Anuales'!$B$8:$K$39,9),0),VLOOKUP(M29,'Flujos Anuales'!$B$8:$K$39,9)/12)</f>
        <v>217.76179069805394</v>
      </c>
      <c r="P29" s="120">
        <f>VLOOKUP(M29,'Flujos Anuales'!$B$8:$K$39,10)/12</f>
        <v>35.097500000000004</v>
      </c>
      <c r="Q29" s="120">
        <f t="shared" si="6"/>
        <v>2370.0613014455257</v>
      </c>
    </row>
    <row r="30" spans="2:19" x14ac:dyDescent="0.35">
      <c r="B30" s="10">
        <v>16</v>
      </c>
      <c r="C30" s="11">
        <f t="shared" si="0"/>
        <v>1517.9455240683837</v>
      </c>
      <c r="D30" s="11">
        <f t="shared" si="1"/>
        <v>1313.8761235178399</v>
      </c>
      <c r="E30" s="11">
        <f t="shared" si="7"/>
        <v>204.06940055054383</v>
      </c>
      <c r="F30" s="11">
        <f t="shared" si="8"/>
        <v>225031.83748822199</v>
      </c>
      <c r="H30" s="129">
        <f>IF(Principal!$D$25="Anual",IF(MOD(B30+1,12)=0,$W$2*((1+$W$3)^M30),0),$W$2*((1+$W$3)^M30)/12)</f>
        <v>352.08456167908804</v>
      </c>
      <c r="I30" s="68">
        <f t="shared" si="2"/>
        <v>2117.2020107474718</v>
      </c>
      <c r="J30" s="43">
        <f>SUM($I$14:I30)</f>
        <v>33848.813984227025</v>
      </c>
      <c r="K30" s="11">
        <f t="shared" si="3"/>
        <v>247.17192499999999</v>
      </c>
      <c r="L30" s="5">
        <f t="shared" si="4"/>
        <v>2117.2020107474718</v>
      </c>
      <c r="M30" s="10">
        <f t="shared" si="9"/>
        <v>1</v>
      </c>
      <c r="N30" s="189"/>
      <c r="O30" s="130">
        <f>IF(Principal!$D$30="Anual",IF(MOD(B30+1,12)=0,VLOOKUP(M30,'Flujos Anuales'!$B$8:$K$39,9),0),VLOOKUP(M30,'Flujos Anuales'!$B$8:$K$39,9)/12)</f>
        <v>217.76179069805394</v>
      </c>
      <c r="P30" s="120">
        <f>VLOOKUP(M30,'Flujos Anuales'!$B$8:$K$39,10)/12</f>
        <v>35.097500000000004</v>
      </c>
      <c r="Q30" s="120">
        <f t="shared" si="6"/>
        <v>2370.0613014455257</v>
      </c>
    </row>
    <row r="31" spans="2:19" x14ac:dyDescent="0.35">
      <c r="B31" s="10">
        <v>17</v>
      </c>
      <c r="C31" s="11">
        <f t="shared" si="0"/>
        <v>1517.9455240683837</v>
      </c>
      <c r="D31" s="11">
        <f t="shared" si="1"/>
        <v>1312.6857186812949</v>
      </c>
      <c r="E31" s="11">
        <f t="shared" si="7"/>
        <v>205.25980538708882</v>
      </c>
      <c r="F31" s="11">
        <f t="shared" si="8"/>
        <v>224826.5776828349</v>
      </c>
      <c r="H31" s="129">
        <f>IF(Principal!$D$25="Anual",IF(MOD(B31+1,12)=0,$W$2*((1+$W$3)^M31),0),$W$2*((1+$W$3)^M31)/12)</f>
        <v>352.08456167908804</v>
      </c>
      <c r="I31" s="68">
        <f t="shared" si="2"/>
        <v>2117.2020107474718</v>
      </c>
      <c r="J31" s="43">
        <f>SUM($I$14:I31)</f>
        <v>35966.015994974499</v>
      </c>
      <c r="K31" s="11">
        <f t="shared" si="3"/>
        <v>247.17192499999999</v>
      </c>
      <c r="L31" s="5">
        <f t="shared" si="4"/>
        <v>2117.2020107474718</v>
      </c>
      <c r="M31" s="10">
        <f t="shared" si="5"/>
        <v>1</v>
      </c>
      <c r="N31" s="189"/>
      <c r="O31" s="130">
        <f>IF(Principal!$D$30="Anual",IF(MOD(B31+1,12)=0,VLOOKUP(M31,'Flujos Anuales'!$B$8:$K$39,9),0),VLOOKUP(M31,'Flujos Anuales'!$B$8:$K$39,9)/12)</f>
        <v>217.76179069805394</v>
      </c>
      <c r="P31" s="120">
        <f>VLOOKUP(M31,'Flujos Anuales'!$B$8:$K$39,10)/12</f>
        <v>35.097500000000004</v>
      </c>
      <c r="Q31" s="120">
        <f t="shared" si="6"/>
        <v>2370.0613014455257</v>
      </c>
    </row>
    <row r="32" spans="2:19" x14ac:dyDescent="0.35">
      <c r="B32" s="10">
        <v>18</v>
      </c>
      <c r="C32" s="11">
        <f t="shared" si="0"/>
        <v>1517.9455240683837</v>
      </c>
      <c r="D32" s="11">
        <f t="shared" si="1"/>
        <v>1311.488369816537</v>
      </c>
      <c r="E32" s="11">
        <f t="shared" si="7"/>
        <v>206.45715425184676</v>
      </c>
      <c r="F32" s="11">
        <f t="shared" si="8"/>
        <v>224620.12052858307</v>
      </c>
      <c r="H32" s="129">
        <f>IF(Principal!$D$25="Anual",IF(MOD(B32+1,12)=0,$W$2*((1+$W$3)^M32),0),$W$2*((1+$W$3)^M32)/12)</f>
        <v>352.08456167908804</v>
      </c>
      <c r="I32" s="68">
        <f t="shared" si="2"/>
        <v>2117.2020107474718</v>
      </c>
      <c r="J32" s="43">
        <f>SUM($I$14:I32)</f>
        <v>38083.218005721974</v>
      </c>
      <c r="K32" s="11">
        <f t="shared" si="3"/>
        <v>247.17192499999999</v>
      </c>
      <c r="L32" s="5">
        <f t="shared" si="4"/>
        <v>2117.2020107474718</v>
      </c>
      <c r="M32" s="10">
        <f t="shared" si="5"/>
        <v>1</v>
      </c>
      <c r="N32" s="189"/>
      <c r="O32" s="130">
        <f>IF(Principal!$D$30="Anual",IF(MOD(B32+1,12)=0,VLOOKUP(M32,'Flujos Anuales'!$B$8:$K$39,9),0),VLOOKUP(M32,'Flujos Anuales'!$B$8:$K$39,9)/12)</f>
        <v>217.76179069805394</v>
      </c>
      <c r="P32" s="120">
        <f>VLOOKUP(M32,'Flujos Anuales'!$B$8:$K$39,10)/12</f>
        <v>35.097500000000004</v>
      </c>
      <c r="Q32" s="120">
        <f t="shared" si="6"/>
        <v>2370.0613014455257</v>
      </c>
    </row>
    <row r="33" spans="2:17" x14ac:dyDescent="0.35">
      <c r="B33" s="10">
        <v>19</v>
      </c>
      <c r="C33" s="11">
        <f t="shared" si="0"/>
        <v>1517.9455240683837</v>
      </c>
      <c r="D33" s="11">
        <f t="shared" si="1"/>
        <v>1310.2840364167346</v>
      </c>
      <c r="E33" s="11">
        <f t="shared" si="7"/>
        <v>207.66148765164917</v>
      </c>
      <c r="F33" s="11">
        <f t="shared" si="8"/>
        <v>224412.45904093143</v>
      </c>
      <c r="H33" s="129">
        <f>IF(Principal!$D$25="Anual",IF(MOD(B33+1,12)=0,$W$2*((1+$W$3)^M33),0),$W$2*((1+$W$3)^M33)/12)</f>
        <v>352.08456167908804</v>
      </c>
      <c r="I33" s="68">
        <f t="shared" si="2"/>
        <v>2117.2020107474718</v>
      </c>
      <c r="J33" s="43">
        <f>SUM($I$14:I33)</f>
        <v>40200.420016469448</v>
      </c>
      <c r="K33" s="11">
        <f t="shared" si="3"/>
        <v>247.17192499999999</v>
      </c>
      <c r="L33" s="5">
        <f t="shared" si="4"/>
        <v>2117.2020107474718</v>
      </c>
      <c r="M33" s="10">
        <f t="shared" si="5"/>
        <v>1</v>
      </c>
      <c r="N33" s="189"/>
      <c r="O33" s="130">
        <f>IF(Principal!$D$30="Anual",IF(MOD(B33+1,12)=0,VLOOKUP(M33,'Flujos Anuales'!$B$8:$K$39,9),0),VLOOKUP(M33,'Flujos Anuales'!$B$8:$K$39,9)/12)</f>
        <v>217.76179069805394</v>
      </c>
      <c r="P33" s="120">
        <f>VLOOKUP(M33,'Flujos Anuales'!$B$8:$K$39,10)/12</f>
        <v>35.097500000000004</v>
      </c>
      <c r="Q33" s="120">
        <f t="shared" si="6"/>
        <v>2370.0613014455257</v>
      </c>
    </row>
    <row r="34" spans="2:17" x14ac:dyDescent="0.35">
      <c r="B34" s="10">
        <v>20</v>
      </c>
      <c r="C34" s="11">
        <f t="shared" si="0"/>
        <v>1517.9455240683837</v>
      </c>
      <c r="D34" s="11">
        <f t="shared" si="1"/>
        <v>1309.0726777387667</v>
      </c>
      <c r="E34" s="11">
        <f t="shared" si="7"/>
        <v>208.872846329617</v>
      </c>
      <c r="F34" s="11">
        <f t="shared" si="8"/>
        <v>224203.58619460181</v>
      </c>
      <c r="H34" s="129">
        <f>IF(Principal!$D$25="Anual",IF(MOD(B34+1,12)=0,$W$2*((1+$W$3)^M34),0),$W$2*((1+$W$3)^M34)/12)</f>
        <v>352.08456167908804</v>
      </c>
      <c r="I34" s="68">
        <f t="shared" si="2"/>
        <v>2117.2020107474718</v>
      </c>
      <c r="J34" s="43">
        <f>SUM($I$14:I34)</f>
        <v>42317.622027216923</v>
      </c>
      <c r="K34" s="11">
        <f t="shared" si="3"/>
        <v>247.17192499999999</v>
      </c>
      <c r="L34" s="5">
        <f t="shared" si="4"/>
        <v>2117.2020107474718</v>
      </c>
      <c r="M34" s="10">
        <f t="shared" si="5"/>
        <v>1</v>
      </c>
      <c r="N34" s="189"/>
      <c r="O34" s="130">
        <f>IF(Principal!$D$30="Anual",IF(MOD(B34+1,12)=0,VLOOKUP(M34,'Flujos Anuales'!$B$8:$K$39,9),0),VLOOKUP(M34,'Flujos Anuales'!$B$8:$K$39,9)/12)</f>
        <v>217.76179069805394</v>
      </c>
      <c r="P34" s="120">
        <f>VLOOKUP(M34,'Flujos Anuales'!$B$8:$K$39,10)/12</f>
        <v>35.097500000000004</v>
      </c>
      <c r="Q34" s="120">
        <f t="shared" si="6"/>
        <v>2370.0613014455257</v>
      </c>
    </row>
    <row r="35" spans="2:17" x14ac:dyDescent="0.35">
      <c r="B35" s="10">
        <v>21</v>
      </c>
      <c r="C35" s="11">
        <f t="shared" si="0"/>
        <v>1517.9455240683837</v>
      </c>
      <c r="D35" s="11">
        <f t="shared" si="1"/>
        <v>1307.854252801844</v>
      </c>
      <c r="E35" s="11">
        <f t="shared" si="7"/>
        <v>210.09127126653971</v>
      </c>
      <c r="F35" s="11">
        <f t="shared" si="8"/>
        <v>223993.49492333527</v>
      </c>
      <c r="H35" s="129">
        <f>IF(Principal!$D$25="Anual",IF(MOD(B35+1,12)=0,$W$2*((1+$W$3)^M35),0),$W$2*((1+$W$3)^M35)/12)</f>
        <v>352.08456167908804</v>
      </c>
      <c r="I35" s="68">
        <f t="shared" si="2"/>
        <v>2117.2020107474718</v>
      </c>
      <c r="J35" s="43">
        <f>SUM($I$14:I35)</f>
        <v>44434.824037964398</v>
      </c>
      <c r="K35" s="11">
        <f t="shared" si="3"/>
        <v>247.17192499999999</v>
      </c>
      <c r="L35" s="5">
        <f t="shared" si="4"/>
        <v>2117.2020107474718</v>
      </c>
      <c r="M35" s="10">
        <f t="shared" si="5"/>
        <v>1</v>
      </c>
      <c r="N35" s="189"/>
      <c r="O35" s="130">
        <f>IF(Principal!$D$30="Anual",IF(MOD(B35+1,12)=0,VLOOKUP(M35,'Flujos Anuales'!$B$8:$K$39,9),0),VLOOKUP(M35,'Flujos Anuales'!$B$8:$K$39,9)/12)</f>
        <v>217.76179069805394</v>
      </c>
      <c r="P35" s="120">
        <f>VLOOKUP(M35,'Flujos Anuales'!$B$8:$K$39,10)/12</f>
        <v>35.097500000000004</v>
      </c>
      <c r="Q35" s="120">
        <f t="shared" si="6"/>
        <v>2370.0613014455257</v>
      </c>
    </row>
    <row r="36" spans="2:17" x14ac:dyDescent="0.35">
      <c r="B36" s="10">
        <v>22</v>
      </c>
      <c r="C36" s="11">
        <f t="shared" si="0"/>
        <v>1517.9455240683837</v>
      </c>
      <c r="D36" s="11">
        <f t="shared" si="1"/>
        <v>1306.6287203861225</v>
      </c>
      <c r="E36" s="11">
        <f t="shared" si="7"/>
        <v>211.31680368226125</v>
      </c>
      <c r="F36" s="11">
        <f t="shared" si="8"/>
        <v>223782.17811965299</v>
      </c>
      <c r="H36" s="129">
        <f>IF(Principal!$D$25="Anual",IF(MOD(B36+1,12)=0,$W$2*((1+$W$3)^M36),0),$W$2*((1+$W$3)^M36)/12)</f>
        <v>352.08456167908804</v>
      </c>
      <c r="I36" s="68">
        <f t="shared" si="2"/>
        <v>2117.2020107474718</v>
      </c>
      <c r="J36" s="43">
        <f>SUM($I$14:I36)</f>
        <v>46552.026048711872</v>
      </c>
      <c r="K36" s="11">
        <f t="shared" si="3"/>
        <v>247.17192499999999</v>
      </c>
      <c r="L36" s="5">
        <f t="shared" si="4"/>
        <v>2117.2020107474718</v>
      </c>
      <c r="M36" s="10">
        <f t="shared" si="5"/>
        <v>1</v>
      </c>
      <c r="N36" s="189"/>
      <c r="O36" s="130">
        <f>IF(Principal!$D$30="Anual",IF(MOD(B36+1,12)=0,VLOOKUP(M36,'Flujos Anuales'!$B$8:$K$39,9),0),VLOOKUP(M36,'Flujos Anuales'!$B$8:$K$39,9)/12)</f>
        <v>217.76179069805394</v>
      </c>
      <c r="P36" s="120">
        <f>VLOOKUP(M36,'Flujos Anuales'!$B$8:$K$39,10)/12</f>
        <v>35.097500000000004</v>
      </c>
      <c r="Q36" s="120">
        <f t="shared" si="6"/>
        <v>2370.0613014455257</v>
      </c>
    </row>
    <row r="37" spans="2:17" x14ac:dyDescent="0.35">
      <c r="B37" s="10">
        <v>23</v>
      </c>
      <c r="C37" s="11">
        <f t="shared" si="0"/>
        <v>1517.9455240683837</v>
      </c>
      <c r="D37" s="11">
        <f t="shared" si="1"/>
        <v>1305.3960390313091</v>
      </c>
      <c r="E37" s="11">
        <f t="shared" si="7"/>
        <v>212.54948503707465</v>
      </c>
      <c r="F37" s="11">
        <f t="shared" si="8"/>
        <v>223569.62863461592</v>
      </c>
      <c r="H37" s="129">
        <f>IF(Principal!$D$25="Anual",IF(MOD(B37+1,12)=0,$W$2*((1+$W$3)^M37),0),$W$2*((1+$W$3)^M37)/12)</f>
        <v>352.08456167908804</v>
      </c>
      <c r="I37" s="68">
        <f t="shared" si="2"/>
        <v>2117.2020107474718</v>
      </c>
      <c r="J37" s="43">
        <f>SUM($I$14:I37)</f>
        <v>48669.228059459347</v>
      </c>
      <c r="K37" s="11">
        <f t="shared" si="3"/>
        <v>247.17192499999999</v>
      </c>
      <c r="L37" s="5">
        <f t="shared" si="4"/>
        <v>2117.2020107474718</v>
      </c>
      <c r="M37" s="10">
        <f t="shared" si="5"/>
        <v>1</v>
      </c>
      <c r="N37" s="189"/>
      <c r="O37" s="130">
        <f>IF(Principal!$D$30="Anual",IF(MOD(B37+1,12)=0,VLOOKUP(M37,'Flujos Anuales'!$B$8:$K$39,9),0),VLOOKUP(M37,'Flujos Anuales'!$B$8:$K$39,9)/12)</f>
        <v>217.76179069805394</v>
      </c>
      <c r="P37" s="120">
        <f>VLOOKUP(M37,'Flujos Anuales'!$B$8:$K$39,10)/12</f>
        <v>35.097500000000004</v>
      </c>
      <c r="Q37" s="120">
        <f t="shared" si="6"/>
        <v>2370.0613014455257</v>
      </c>
    </row>
    <row r="38" spans="2:17" x14ac:dyDescent="0.35">
      <c r="B38" s="10">
        <v>24</v>
      </c>
      <c r="C38" s="11">
        <f t="shared" si="0"/>
        <v>1517.9455240683837</v>
      </c>
      <c r="D38" s="11">
        <f t="shared" si="1"/>
        <v>1304.1561670352596</v>
      </c>
      <c r="E38" s="11">
        <f t="shared" si="7"/>
        <v>213.78935703312413</v>
      </c>
      <c r="F38" s="11">
        <f t="shared" si="8"/>
        <v>223355.8392775828</v>
      </c>
      <c r="H38" s="129">
        <f>IF(Principal!$D$25="Anual",IF(MOD(B38+1,12)=0,$W$2*((1+$W$3)^M38),0),$W$2*((1+$W$3)^M38)/12)</f>
        <v>354.50270987947351</v>
      </c>
      <c r="I38" s="68">
        <f t="shared" si="2"/>
        <v>2119.6201589478574</v>
      </c>
      <c r="J38" s="43">
        <f>SUM($I$14:I38)</f>
        <v>50788.848218407205</v>
      </c>
      <c r="K38" s="11">
        <f t="shared" si="3"/>
        <v>247.17192499999999</v>
      </c>
      <c r="L38" s="5">
        <f t="shared" si="4"/>
        <v>2119.6201589478574</v>
      </c>
      <c r="M38" s="10">
        <f t="shared" si="5"/>
        <v>2</v>
      </c>
      <c r="N38" s="189">
        <f>SUM(L38:L49)</f>
        <v>22963.722657374281</v>
      </c>
      <c r="O38" s="130">
        <f>IF(Principal!$D$30="Anual",IF(MOD(B38+1,12)=0,VLOOKUP(M38,'Flujos Anuales'!$B$8:$K$39,9),0),VLOOKUP(M38,'Flujos Anuales'!$B$8:$K$39,9)/12)</f>
        <v>227.70803115497259</v>
      </c>
      <c r="P38" s="120">
        <f>VLOOKUP(M38,'Flujos Anuales'!$B$8:$K$39,10)/12</f>
        <v>35.448475000000002</v>
      </c>
      <c r="Q38" s="120">
        <f t="shared" si="6"/>
        <v>2382.7766651028301</v>
      </c>
    </row>
    <row r="39" spans="2:17" x14ac:dyDescent="0.35">
      <c r="B39" s="10">
        <v>25</v>
      </c>
      <c r="C39" s="11">
        <f t="shared" si="0"/>
        <v>1517.9455240683837</v>
      </c>
      <c r="D39" s="11">
        <f t="shared" si="1"/>
        <v>1302.9090624525663</v>
      </c>
      <c r="E39" s="11">
        <f t="shared" si="7"/>
        <v>215.03646161581742</v>
      </c>
      <c r="F39" s="11">
        <f t="shared" si="8"/>
        <v>223140.80281596698</v>
      </c>
      <c r="H39" s="129">
        <f>IF(Principal!$D$25="Anual",IF(MOD(B39+1,12)=0,$W$2*((1+$W$3)^M39),0),$W$2*((1+$W$3)^M39)/12)</f>
        <v>354.50270987947351</v>
      </c>
      <c r="I39" s="68">
        <f t="shared" si="2"/>
        <v>2119.6201589478574</v>
      </c>
      <c r="J39" s="43">
        <f>SUM($I$14:I39)</f>
        <v>52908.468377355064</v>
      </c>
      <c r="K39" s="11">
        <f t="shared" si="3"/>
        <v>247.17192499999999</v>
      </c>
      <c r="L39" s="5">
        <f t="shared" si="4"/>
        <v>2119.6201589478574</v>
      </c>
      <c r="M39" s="10">
        <f t="shared" si="5"/>
        <v>2</v>
      </c>
      <c r="N39" s="189"/>
      <c r="O39" s="130">
        <f>IF(Principal!$D$30="Anual",IF(MOD(B39+1,12)=0,VLOOKUP(M39,'Flujos Anuales'!$B$8:$K$39,9),0),VLOOKUP(M39,'Flujos Anuales'!$B$8:$K$39,9)/12)</f>
        <v>227.70803115497259</v>
      </c>
      <c r="P39" s="120">
        <f>VLOOKUP(M39,'Flujos Anuales'!$B$8:$K$39,10)/12</f>
        <v>35.448475000000002</v>
      </c>
      <c r="Q39" s="120">
        <f t="shared" si="6"/>
        <v>2382.7766651028301</v>
      </c>
    </row>
    <row r="40" spans="2:17" x14ac:dyDescent="0.35">
      <c r="B40" s="10">
        <v>26</v>
      </c>
      <c r="C40" s="11">
        <f t="shared" si="0"/>
        <v>1517.9455240683837</v>
      </c>
      <c r="D40" s="11">
        <f t="shared" si="1"/>
        <v>1301.6546830931409</v>
      </c>
      <c r="E40" s="11">
        <f t="shared" si="7"/>
        <v>216.29084097524287</v>
      </c>
      <c r="F40" s="11">
        <f t="shared" si="8"/>
        <v>222924.51197499174</v>
      </c>
      <c r="H40" s="129">
        <f>IF(Principal!$D$25="Anual",IF(MOD(B40+1,12)=0,$W$2*((1+$W$3)^M40),0),$W$2*((1+$W$3)^M40)/12)</f>
        <v>354.50270987947351</v>
      </c>
      <c r="I40" s="68">
        <f t="shared" si="2"/>
        <v>2119.6201589478574</v>
      </c>
      <c r="J40" s="43">
        <f>SUM($I$14:I40)</f>
        <v>55028.088536302923</v>
      </c>
      <c r="K40" s="11">
        <f t="shared" si="3"/>
        <v>0</v>
      </c>
      <c r="L40" s="5">
        <f t="shared" si="4"/>
        <v>1872.4482339478573</v>
      </c>
      <c r="M40" s="10">
        <f t="shared" si="5"/>
        <v>2</v>
      </c>
      <c r="N40" s="189"/>
      <c r="O40" s="130">
        <f>IF(Principal!$D$30="Anual",IF(MOD(B40+1,12)=0,VLOOKUP(M40,'Flujos Anuales'!$B$8:$K$39,9),0),VLOOKUP(M40,'Flujos Anuales'!$B$8:$K$39,9)/12)</f>
        <v>227.70803115497259</v>
      </c>
      <c r="P40" s="120">
        <f>VLOOKUP(M40,'Flujos Anuales'!$B$8:$K$39,10)/12</f>
        <v>35.448475000000002</v>
      </c>
      <c r="Q40" s="120">
        <f t="shared" si="6"/>
        <v>2135.60474010283</v>
      </c>
    </row>
    <row r="41" spans="2:17" x14ac:dyDescent="0.35">
      <c r="B41" s="10">
        <v>27</v>
      </c>
      <c r="C41" s="11">
        <f t="shared" si="0"/>
        <v>1517.9455240683837</v>
      </c>
      <c r="D41" s="11">
        <f t="shared" si="1"/>
        <v>1300.3929865207851</v>
      </c>
      <c r="E41" s="11">
        <f t="shared" si="7"/>
        <v>217.5525375475986</v>
      </c>
      <c r="F41" s="11">
        <f t="shared" si="8"/>
        <v>222706.95943744414</v>
      </c>
      <c r="H41" s="129">
        <f>IF(Principal!$D$25="Anual",IF(MOD(B41+1,12)=0,$W$2*((1+$W$3)^M41),0),$W$2*((1+$W$3)^M41)/12)</f>
        <v>354.50270987947351</v>
      </c>
      <c r="I41" s="68">
        <f t="shared" si="2"/>
        <v>2119.6201589478574</v>
      </c>
      <c r="J41" s="43">
        <f>SUM($I$14:I41)</f>
        <v>57147.708695250782</v>
      </c>
      <c r="K41" s="11">
        <f t="shared" si="3"/>
        <v>0</v>
      </c>
      <c r="L41" s="5">
        <f t="shared" si="4"/>
        <v>1872.4482339478573</v>
      </c>
      <c r="M41" s="10">
        <f t="shared" si="5"/>
        <v>2</v>
      </c>
      <c r="N41" s="189"/>
      <c r="O41" s="130">
        <f>IF(Principal!$D$30="Anual",IF(MOD(B41+1,12)=0,VLOOKUP(M41,'Flujos Anuales'!$B$8:$K$39,9),0),VLOOKUP(M41,'Flujos Anuales'!$B$8:$K$39,9)/12)</f>
        <v>227.70803115497259</v>
      </c>
      <c r="P41" s="120">
        <f>VLOOKUP(M41,'Flujos Anuales'!$B$8:$K$39,10)/12</f>
        <v>35.448475000000002</v>
      </c>
      <c r="Q41" s="120">
        <f t="shared" si="6"/>
        <v>2135.60474010283</v>
      </c>
    </row>
    <row r="42" spans="2:17" x14ac:dyDescent="0.35">
      <c r="B42" s="10">
        <v>28</v>
      </c>
      <c r="C42" s="11">
        <f t="shared" si="0"/>
        <v>1517.9455240683837</v>
      </c>
      <c r="D42" s="11">
        <f t="shared" si="1"/>
        <v>1299.1239300517575</v>
      </c>
      <c r="E42" s="11">
        <f t="shared" si="7"/>
        <v>218.82159401662625</v>
      </c>
      <c r="F42" s="11">
        <f t="shared" si="8"/>
        <v>222488.13784342751</v>
      </c>
      <c r="H42" s="129">
        <f>IF(Principal!$D$25="Anual",IF(MOD(B42+1,12)=0,$W$2*((1+$W$3)^M42),0),$W$2*((1+$W$3)^M42)/12)</f>
        <v>354.50270987947351</v>
      </c>
      <c r="I42" s="68">
        <f t="shared" si="2"/>
        <v>2119.6201589478574</v>
      </c>
      <c r="J42" s="43">
        <f>SUM($I$14:I42)</f>
        <v>59267.32885419864</v>
      </c>
      <c r="K42" s="11">
        <f t="shared" si="3"/>
        <v>0</v>
      </c>
      <c r="L42" s="5">
        <f t="shared" si="4"/>
        <v>1872.4482339478573</v>
      </c>
      <c r="M42" s="10">
        <f t="shared" si="5"/>
        <v>2</v>
      </c>
      <c r="N42" s="189"/>
      <c r="O42" s="130">
        <f>IF(Principal!$D$30="Anual",IF(MOD(B42+1,12)=0,VLOOKUP(M42,'Flujos Anuales'!$B$8:$K$39,9),0),VLOOKUP(M42,'Flujos Anuales'!$B$8:$K$39,9)/12)</f>
        <v>227.70803115497259</v>
      </c>
      <c r="P42" s="120">
        <f>VLOOKUP(M42,'Flujos Anuales'!$B$8:$K$39,10)/12</f>
        <v>35.448475000000002</v>
      </c>
      <c r="Q42" s="120">
        <f t="shared" si="6"/>
        <v>2135.60474010283</v>
      </c>
    </row>
    <row r="43" spans="2:17" x14ac:dyDescent="0.35">
      <c r="B43" s="10">
        <v>29</v>
      </c>
      <c r="C43" s="11">
        <f t="shared" si="0"/>
        <v>1517.9455240683837</v>
      </c>
      <c r="D43" s="11">
        <f t="shared" si="1"/>
        <v>1297.8474707533271</v>
      </c>
      <c r="E43" s="11">
        <f t="shared" si="7"/>
        <v>220.09805331505663</v>
      </c>
      <c r="F43" s="11">
        <f t="shared" si="8"/>
        <v>222268.03979011247</v>
      </c>
      <c r="H43" s="129">
        <f>IF(Principal!$D$25="Anual",IF(MOD(B43+1,12)=0,$W$2*((1+$W$3)^M43),0),$W$2*((1+$W$3)^M43)/12)</f>
        <v>354.50270987947351</v>
      </c>
      <c r="I43" s="68">
        <f t="shared" si="2"/>
        <v>2119.6201589478574</v>
      </c>
      <c r="J43" s="43">
        <f>SUM($I$14:I43)</f>
        <v>61386.949013146499</v>
      </c>
      <c r="K43" s="11">
        <f t="shared" si="3"/>
        <v>0</v>
      </c>
      <c r="L43" s="5">
        <f t="shared" si="4"/>
        <v>1872.4482339478573</v>
      </c>
      <c r="M43" s="10">
        <f t="shared" si="5"/>
        <v>2</v>
      </c>
      <c r="N43" s="189"/>
      <c r="O43" s="130">
        <f>IF(Principal!$D$30="Anual",IF(MOD(B43+1,12)=0,VLOOKUP(M43,'Flujos Anuales'!$B$8:$K$39,9),0),VLOOKUP(M43,'Flujos Anuales'!$B$8:$K$39,9)/12)</f>
        <v>227.70803115497259</v>
      </c>
      <c r="P43" s="120">
        <f>VLOOKUP(M43,'Flujos Anuales'!$B$8:$K$39,10)/12</f>
        <v>35.448475000000002</v>
      </c>
      <c r="Q43" s="120">
        <f t="shared" si="6"/>
        <v>2135.60474010283</v>
      </c>
    </row>
    <row r="44" spans="2:17" x14ac:dyDescent="0.35">
      <c r="B44" s="10">
        <v>30</v>
      </c>
      <c r="C44" s="11">
        <f t="shared" si="0"/>
        <v>1517.9455240683837</v>
      </c>
      <c r="D44" s="11">
        <f t="shared" si="1"/>
        <v>1296.5635654423227</v>
      </c>
      <c r="E44" s="11">
        <f t="shared" si="7"/>
        <v>221.38195862606108</v>
      </c>
      <c r="F44" s="11">
        <f t="shared" si="8"/>
        <v>222046.6578314864</v>
      </c>
      <c r="H44" s="129">
        <f>IF(Principal!$D$25="Anual",IF(MOD(B44+1,12)=0,$W$2*((1+$W$3)^M44),0),$W$2*((1+$W$3)^M44)/12)</f>
        <v>354.50270987947351</v>
      </c>
      <c r="I44" s="68">
        <f t="shared" si="2"/>
        <v>2119.6201589478574</v>
      </c>
      <c r="J44" s="43">
        <f>SUM($I$14:I44)</f>
        <v>63506.569172094358</v>
      </c>
      <c r="K44" s="11">
        <f t="shared" si="3"/>
        <v>0</v>
      </c>
      <c r="L44" s="5">
        <f t="shared" si="4"/>
        <v>1872.4482339478573</v>
      </c>
      <c r="M44" s="10">
        <f t="shared" si="5"/>
        <v>2</v>
      </c>
      <c r="N44" s="189"/>
      <c r="O44" s="130">
        <f>IF(Principal!$D$30="Anual",IF(MOD(B44+1,12)=0,VLOOKUP(M44,'Flujos Anuales'!$B$8:$K$39,9),0),VLOOKUP(M44,'Flujos Anuales'!$B$8:$K$39,9)/12)</f>
        <v>227.70803115497259</v>
      </c>
      <c r="P44" s="120">
        <f>VLOOKUP(M44,'Flujos Anuales'!$B$8:$K$39,10)/12</f>
        <v>35.448475000000002</v>
      </c>
      <c r="Q44" s="120">
        <f t="shared" si="6"/>
        <v>2135.60474010283</v>
      </c>
    </row>
    <row r="45" spans="2:17" x14ac:dyDescent="0.35">
      <c r="B45" s="10">
        <v>31</v>
      </c>
      <c r="C45" s="11">
        <f t="shared" si="0"/>
        <v>1517.9455240683837</v>
      </c>
      <c r="D45" s="11">
        <f t="shared" si="1"/>
        <v>1295.2721706836708</v>
      </c>
      <c r="E45" s="11">
        <f t="shared" si="7"/>
        <v>222.67335338471298</v>
      </c>
      <c r="F45" s="11">
        <f t="shared" si="8"/>
        <v>221823.98447810169</v>
      </c>
      <c r="H45" s="129">
        <f>IF(Principal!$D$25="Anual",IF(MOD(B45+1,12)=0,$W$2*((1+$W$3)^M45),0),$W$2*((1+$W$3)^M45)/12)</f>
        <v>354.50270987947351</v>
      </c>
      <c r="I45" s="68">
        <f t="shared" si="2"/>
        <v>2119.6201589478574</v>
      </c>
      <c r="J45" s="43">
        <f>SUM($I$14:I45)</f>
        <v>65626.189331042217</v>
      </c>
      <c r="K45" s="11">
        <f t="shared" si="3"/>
        <v>0</v>
      </c>
      <c r="L45" s="5">
        <f t="shared" si="4"/>
        <v>1872.4482339478573</v>
      </c>
      <c r="M45" s="10">
        <f t="shared" si="5"/>
        <v>2</v>
      </c>
      <c r="N45" s="189"/>
      <c r="O45" s="130">
        <f>IF(Principal!$D$30="Anual",IF(MOD(B45+1,12)=0,VLOOKUP(M45,'Flujos Anuales'!$B$8:$K$39,9),0),VLOOKUP(M45,'Flujos Anuales'!$B$8:$K$39,9)/12)</f>
        <v>227.70803115497259</v>
      </c>
      <c r="P45" s="120">
        <f>VLOOKUP(M45,'Flujos Anuales'!$B$8:$K$39,10)/12</f>
        <v>35.448475000000002</v>
      </c>
      <c r="Q45" s="120">
        <f t="shared" si="6"/>
        <v>2135.60474010283</v>
      </c>
    </row>
    <row r="46" spans="2:17" x14ac:dyDescent="0.35">
      <c r="B46" s="10">
        <v>32</v>
      </c>
      <c r="C46" s="11">
        <f t="shared" si="0"/>
        <v>1517.9455240683837</v>
      </c>
      <c r="D46" s="11">
        <f t="shared" si="1"/>
        <v>1293.9732427889267</v>
      </c>
      <c r="E46" s="11">
        <f t="shared" si="7"/>
        <v>223.97228127945709</v>
      </c>
      <c r="F46" s="11">
        <f t="shared" si="8"/>
        <v>221600.01219682224</v>
      </c>
      <c r="H46" s="129">
        <f>IF(Principal!$D$25="Anual",IF(MOD(B46+1,12)=0,$W$2*((1+$W$3)^M46),0),$W$2*((1+$W$3)^M46)/12)</f>
        <v>354.50270987947351</v>
      </c>
      <c r="I46" s="68">
        <f t="shared" si="2"/>
        <v>2119.6201589478574</v>
      </c>
      <c r="J46" s="43">
        <f>SUM($I$14:I46)</f>
        <v>67745.809489990075</v>
      </c>
      <c r="K46" s="11">
        <f t="shared" si="3"/>
        <v>0</v>
      </c>
      <c r="L46" s="5">
        <f t="shared" si="4"/>
        <v>1872.4482339478573</v>
      </c>
      <c r="M46" s="10">
        <f t="shared" si="5"/>
        <v>2</v>
      </c>
      <c r="N46" s="189"/>
      <c r="O46" s="130">
        <f>IF(Principal!$D$30="Anual",IF(MOD(B46+1,12)=0,VLOOKUP(M46,'Flujos Anuales'!$B$8:$K$39,9),0),VLOOKUP(M46,'Flujos Anuales'!$B$8:$K$39,9)/12)</f>
        <v>227.70803115497259</v>
      </c>
      <c r="P46" s="120">
        <f>VLOOKUP(M46,'Flujos Anuales'!$B$8:$K$39,10)/12</f>
        <v>35.448475000000002</v>
      </c>
      <c r="Q46" s="120">
        <f t="shared" si="6"/>
        <v>2135.60474010283</v>
      </c>
    </row>
    <row r="47" spans="2:17" x14ac:dyDescent="0.35">
      <c r="B47" s="10">
        <v>33</v>
      </c>
      <c r="C47" s="11">
        <f t="shared" si="0"/>
        <v>1517.9455240683837</v>
      </c>
      <c r="D47" s="11">
        <f t="shared" si="1"/>
        <v>1292.6667378147965</v>
      </c>
      <c r="E47" s="11">
        <f t="shared" si="7"/>
        <v>225.27878625358721</v>
      </c>
      <c r="F47" s="11">
        <f t="shared" si="8"/>
        <v>221374.73341056865</v>
      </c>
      <c r="H47" s="129">
        <f>IF(Principal!$D$25="Anual",IF(MOD(B47+1,12)=0,$W$2*((1+$W$3)^M47),0),$W$2*((1+$W$3)^M47)/12)</f>
        <v>354.50270987947351</v>
      </c>
      <c r="I47" s="68">
        <f t="shared" si="2"/>
        <v>2119.6201589478574</v>
      </c>
      <c r="J47" s="43">
        <f>SUM($I$14:I47)</f>
        <v>69865.429648937934</v>
      </c>
      <c r="K47" s="11">
        <f t="shared" si="3"/>
        <v>0</v>
      </c>
      <c r="L47" s="5">
        <f t="shared" si="4"/>
        <v>1872.4482339478573</v>
      </c>
      <c r="M47" s="10">
        <f t="shared" si="5"/>
        <v>2</v>
      </c>
      <c r="N47" s="189"/>
      <c r="O47" s="130">
        <f>IF(Principal!$D$30="Anual",IF(MOD(B47+1,12)=0,VLOOKUP(M47,'Flujos Anuales'!$B$8:$K$39,9),0),VLOOKUP(M47,'Flujos Anuales'!$B$8:$K$39,9)/12)</f>
        <v>227.70803115497259</v>
      </c>
      <c r="P47" s="120">
        <f>VLOOKUP(M47,'Flujos Anuales'!$B$8:$K$39,10)/12</f>
        <v>35.448475000000002</v>
      </c>
      <c r="Q47" s="120">
        <f t="shared" si="6"/>
        <v>2135.60474010283</v>
      </c>
    </row>
    <row r="48" spans="2:17" x14ac:dyDescent="0.35">
      <c r="B48" s="10">
        <v>34</v>
      </c>
      <c r="C48" s="11">
        <f t="shared" si="0"/>
        <v>1517.9455240683837</v>
      </c>
      <c r="D48" s="11">
        <f t="shared" si="1"/>
        <v>1291.3526115616505</v>
      </c>
      <c r="E48" s="11">
        <f t="shared" si="7"/>
        <v>226.59291250673323</v>
      </c>
      <c r="F48" s="11">
        <f t="shared" si="8"/>
        <v>221148.14049806193</v>
      </c>
      <c r="H48" s="129">
        <f>IF(Principal!$D$25="Anual",IF(MOD(B48+1,12)=0,$W$2*((1+$W$3)^M48),0),$W$2*((1+$W$3)^M48)/12)</f>
        <v>354.50270987947351</v>
      </c>
      <c r="I48" s="68">
        <f t="shared" si="2"/>
        <v>2119.6201589478574</v>
      </c>
      <c r="J48" s="43">
        <f>SUM($I$14:I48)</f>
        <v>71985.049807885793</v>
      </c>
      <c r="K48" s="11">
        <f t="shared" si="3"/>
        <v>0</v>
      </c>
      <c r="L48" s="5">
        <f t="shared" si="4"/>
        <v>1872.4482339478573</v>
      </c>
      <c r="M48" s="10">
        <f t="shared" si="5"/>
        <v>2</v>
      </c>
      <c r="N48" s="189"/>
      <c r="O48" s="130">
        <f>IF(Principal!$D$30="Anual",IF(MOD(B48+1,12)=0,VLOOKUP(M48,'Flujos Anuales'!$B$8:$K$39,9),0),VLOOKUP(M48,'Flujos Anuales'!$B$8:$K$39,9)/12)</f>
        <v>227.70803115497259</v>
      </c>
      <c r="P48" s="120">
        <f>VLOOKUP(M48,'Flujos Anuales'!$B$8:$K$39,10)/12</f>
        <v>35.448475000000002</v>
      </c>
      <c r="Q48" s="120">
        <f t="shared" si="6"/>
        <v>2135.60474010283</v>
      </c>
    </row>
    <row r="49" spans="2:17" x14ac:dyDescent="0.35">
      <c r="B49" s="10">
        <v>35</v>
      </c>
      <c r="C49" s="11">
        <f t="shared" si="0"/>
        <v>1517.9455240683837</v>
      </c>
      <c r="D49" s="11">
        <f t="shared" si="1"/>
        <v>1290.0308195720279</v>
      </c>
      <c r="E49" s="11">
        <f t="shared" si="7"/>
        <v>227.91470449635585</v>
      </c>
      <c r="F49" s="11">
        <f t="shared" si="8"/>
        <v>220920.22579356557</v>
      </c>
      <c r="H49" s="129">
        <f>IF(Principal!$D$25="Anual",IF(MOD(B49+1,12)=0,$W$2*((1+$W$3)^M49),0),$W$2*((1+$W$3)^M49)/12)</f>
        <v>354.50270987947351</v>
      </c>
      <c r="I49" s="68">
        <f t="shared" si="2"/>
        <v>2119.6201589478574</v>
      </c>
      <c r="J49" s="43">
        <f>SUM($I$14:I49)</f>
        <v>74104.669966833651</v>
      </c>
      <c r="K49" s="11">
        <f t="shared" si="3"/>
        <v>0</v>
      </c>
      <c r="L49" s="5">
        <f t="shared" si="4"/>
        <v>1872.4482339478573</v>
      </c>
      <c r="M49" s="10">
        <f t="shared" si="5"/>
        <v>2</v>
      </c>
      <c r="N49" s="189"/>
      <c r="O49" s="130">
        <f>IF(Principal!$D$30="Anual",IF(MOD(B49+1,12)=0,VLOOKUP(M49,'Flujos Anuales'!$B$8:$K$39,9),0),VLOOKUP(M49,'Flujos Anuales'!$B$8:$K$39,9)/12)</f>
        <v>227.70803115497259</v>
      </c>
      <c r="P49" s="120">
        <f>VLOOKUP(M49,'Flujos Anuales'!$B$8:$K$39,10)/12</f>
        <v>35.448475000000002</v>
      </c>
      <c r="Q49" s="120">
        <f t="shared" si="6"/>
        <v>2135.60474010283</v>
      </c>
    </row>
    <row r="50" spans="2:17" x14ac:dyDescent="0.35">
      <c r="B50" s="10">
        <v>36</v>
      </c>
      <c r="C50" s="11">
        <f t="shared" si="0"/>
        <v>1517.9455240683837</v>
      </c>
      <c r="D50" s="11">
        <f t="shared" si="1"/>
        <v>1288.7013171291326</v>
      </c>
      <c r="E50" s="11">
        <f t="shared" si="7"/>
        <v>229.24420693925117</v>
      </c>
      <c r="F50" s="11">
        <f t="shared" si="8"/>
        <v>220690.98158662632</v>
      </c>
      <c r="H50" s="129">
        <f>IF(Principal!$D$25="Anual",IF(MOD(B50+1,12)=0,$W$2*((1+$W$3)^M50),0),$W$2*((1+$W$3)^M50)/12)</f>
        <v>356.93746613756866</v>
      </c>
      <c r="I50" s="68">
        <f t="shared" si="2"/>
        <v>2122.0549152059525</v>
      </c>
      <c r="J50" s="43">
        <f>SUM($I$14:I50)</f>
        <v>76226.724882039605</v>
      </c>
      <c r="K50" s="11">
        <f t="shared" si="3"/>
        <v>0</v>
      </c>
      <c r="L50" s="5">
        <f t="shared" si="4"/>
        <v>1874.8829902059524</v>
      </c>
      <c r="M50" s="10">
        <f t="shared" si="5"/>
        <v>3</v>
      </c>
      <c r="N50" s="189">
        <f>SUM(L50:L61)</f>
        <v>22498.595882471422</v>
      </c>
      <c r="O50" s="130">
        <f>IF(Principal!$D$30="Anual",IF(MOD(B50+1,12)=0,VLOOKUP(M50,'Flujos Anuales'!$B$8:$K$39,9),0),VLOOKUP(M50,'Flujos Anuales'!$B$8:$K$39,9)/12)</f>
        <v>238.10856480497043</v>
      </c>
      <c r="P50" s="120">
        <f>VLOOKUP(M50,'Flujos Anuales'!$B$8:$K$39,10)/12</f>
        <v>35.802959750000007</v>
      </c>
      <c r="Q50" s="120">
        <f t="shared" si="6"/>
        <v>2148.7945147609225</v>
      </c>
    </row>
    <row r="51" spans="2:17" x14ac:dyDescent="0.35">
      <c r="B51" s="10">
        <v>37</v>
      </c>
      <c r="C51" s="11">
        <f t="shared" si="0"/>
        <v>1517.9455240683837</v>
      </c>
      <c r="D51" s="11">
        <f t="shared" si="1"/>
        <v>1287.3640592553202</v>
      </c>
      <c r="E51" s="11">
        <f t="shared" si="7"/>
        <v>230.58146481306358</v>
      </c>
      <c r="F51" s="11">
        <f t="shared" si="8"/>
        <v>220460.40012181326</v>
      </c>
      <c r="H51" s="129">
        <f>IF(Principal!$D$25="Anual",IF(MOD(B51+1,12)=0,$W$2*((1+$W$3)^M51),0),$W$2*((1+$W$3)^M51)/12)</f>
        <v>356.93746613756866</v>
      </c>
      <c r="I51" s="68">
        <f t="shared" si="2"/>
        <v>2122.0549152059525</v>
      </c>
      <c r="J51" s="43">
        <f>SUM($I$14:I51)</f>
        <v>78348.779797245559</v>
      </c>
      <c r="K51" s="11">
        <f t="shared" si="3"/>
        <v>0</v>
      </c>
      <c r="L51" s="5">
        <f t="shared" si="4"/>
        <v>1874.8829902059524</v>
      </c>
      <c r="M51" s="10">
        <f t="shared" si="5"/>
        <v>3</v>
      </c>
      <c r="N51" s="189"/>
      <c r="O51" s="130">
        <f>IF(Principal!$D$30="Anual",IF(MOD(B51+1,12)=0,VLOOKUP(M51,'Flujos Anuales'!$B$8:$K$39,9),0),VLOOKUP(M51,'Flujos Anuales'!$B$8:$K$39,9)/12)</f>
        <v>238.10856480497043</v>
      </c>
      <c r="P51" s="120">
        <f>VLOOKUP(M51,'Flujos Anuales'!$B$8:$K$39,10)/12</f>
        <v>35.802959750000007</v>
      </c>
      <c r="Q51" s="120">
        <f t="shared" si="6"/>
        <v>2148.7945147609225</v>
      </c>
    </row>
    <row r="52" spans="2:17" x14ac:dyDescent="0.35">
      <c r="B52" s="10">
        <v>38</v>
      </c>
      <c r="C52" s="11">
        <f t="shared" si="0"/>
        <v>1517.9455240683837</v>
      </c>
      <c r="D52" s="11">
        <f t="shared" si="1"/>
        <v>1286.0190007105775</v>
      </c>
      <c r="E52" s="11">
        <f t="shared" si="7"/>
        <v>231.92652335780622</v>
      </c>
      <c r="F52" s="11">
        <f t="shared" si="8"/>
        <v>220228.47359845546</v>
      </c>
      <c r="H52" s="129">
        <f>IF(Principal!$D$25="Anual",IF(MOD(B52+1,12)=0,$W$2*((1+$W$3)^M52),0),$W$2*((1+$W$3)^M52)/12)</f>
        <v>356.93746613756866</v>
      </c>
      <c r="I52" s="68">
        <f t="shared" si="2"/>
        <v>2122.0549152059525</v>
      </c>
      <c r="J52" s="43">
        <f>SUM($I$14:I52)</f>
        <v>80470.834712451513</v>
      </c>
      <c r="K52" s="11">
        <f t="shared" si="3"/>
        <v>0</v>
      </c>
      <c r="L52" s="5">
        <f t="shared" si="4"/>
        <v>1874.8829902059524</v>
      </c>
      <c r="M52" s="10">
        <f t="shared" si="5"/>
        <v>3</v>
      </c>
      <c r="N52" s="189"/>
      <c r="O52" s="130">
        <f>IF(Principal!$D$30="Anual",IF(MOD(B52+1,12)=0,VLOOKUP(M52,'Flujos Anuales'!$B$8:$K$39,9),0),VLOOKUP(M52,'Flujos Anuales'!$B$8:$K$39,9)/12)</f>
        <v>238.10856480497043</v>
      </c>
      <c r="P52" s="120">
        <f>VLOOKUP(M52,'Flujos Anuales'!$B$8:$K$39,10)/12</f>
        <v>35.802959750000007</v>
      </c>
      <c r="Q52" s="120">
        <f t="shared" si="6"/>
        <v>2148.7945147609225</v>
      </c>
    </row>
    <row r="53" spans="2:17" x14ac:dyDescent="0.35">
      <c r="B53" s="10">
        <v>39</v>
      </c>
      <c r="C53" s="11">
        <f t="shared" si="0"/>
        <v>1517.9455240683837</v>
      </c>
      <c r="D53" s="11">
        <f t="shared" si="1"/>
        <v>1284.6660959909902</v>
      </c>
      <c r="E53" s="11">
        <f t="shared" si="7"/>
        <v>233.2794280773935</v>
      </c>
      <c r="F53" s="11">
        <f t="shared" si="8"/>
        <v>219995.19417037806</v>
      </c>
      <c r="H53" s="129">
        <f>IF(Principal!$D$25="Anual",IF(MOD(B53+1,12)=0,$W$2*((1+$W$3)^M53),0),$W$2*((1+$W$3)^M53)/12)</f>
        <v>356.93746613756866</v>
      </c>
      <c r="I53" s="68">
        <f t="shared" si="2"/>
        <v>2122.0549152059525</v>
      </c>
      <c r="J53" s="43">
        <f>SUM($I$14:I53)</f>
        <v>82592.889627657467</v>
      </c>
      <c r="K53" s="11">
        <f t="shared" si="3"/>
        <v>0</v>
      </c>
      <c r="L53" s="5">
        <f t="shared" si="4"/>
        <v>1874.8829902059524</v>
      </c>
      <c r="M53" s="10">
        <f t="shared" si="5"/>
        <v>3</v>
      </c>
      <c r="N53" s="189"/>
      <c r="O53" s="130">
        <f>IF(Principal!$D$30="Anual",IF(MOD(B53+1,12)=0,VLOOKUP(M53,'Flujos Anuales'!$B$8:$K$39,9),0),VLOOKUP(M53,'Flujos Anuales'!$B$8:$K$39,9)/12)</f>
        <v>238.10856480497043</v>
      </c>
      <c r="P53" s="120">
        <f>VLOOKUP(M53,'Flujos Anuales'!$B$8:$K$39,10)/12</f>
        <v>35.802959750000007</v>
      </c>
      <c r="Q53" s="120">
        <f t="shared" si="6"/>
        <v>2148.7945147609225</v>
      </c>
    </row>
    <row r="54" spans="2:17" x14ac:dyDescent="0.35">
      <c r="B54" s="10">
        <v>40</v>
      </c>
      <c r="C54" s="11">
        <f t="shared" si="0"/>
        <v>1517.9455240683837</v>
      </c>
      <c r="D54" s="11">
        <f t="shared" si="1"/>
        <v>1283.3052993272054</v>
      </c>
      <c r="E54" s="11">
        <f t="shared" si="7"/>
        <v>234.64022474117837</v>
      </c>
      <c r="F54" s="11">
        <f t="shared" si="8"/>
        <v>219760.55394563687</v>
      </c>
      <c r="H54" s="129">
        <f>IF(Principal!$D$25="Anual",IF(MOD(B54+1,12)=0,$W$2*((1+$W$3)^M54),0),$W$2*((1+$W$3)^M54)/12)</f>
        <v>356.93746613756866</v>
      </c>
      <c r="I54" s="68">
        <f t="shared" si="2"/>
        <v>2122.0549152059525</v>
      </c>
      <c r="J54" s="43">
        <f>SUM($I$14:I54)</f>
        <v>84714.944542863421</v>
      </c>
      <c r="K54" s="11">
        <f t="shared" si="3"/>
        <v>0</v>
      </c>
      <c r="L54" s="5">
        <f t="shared" si="4"/>
        <v>1874.8829902059524</v>
      </c>
      <c r="M54" s="10">
        <f t="shared" si="5"/>
        <v>3</v>
      </c>
      <c r="N54" s="189"/>
      <c r="O54" s="130">
        <f>IF(Principal!$D$30="Anual",IF(MOD(B54+1,12)=0,VLOOKUP(M54,'Flujos Anuales'!$B$8:$K$39,9),0),VLOOKUP(M54,'Flujos Anuales'!$B$8:$K$39,9)/12)</f>
        <v>238.10856480497043</v>
      </c>
      <c r="P54" s="120">
        <f>VLOOKUP(M54,'Flujos Anuales'!$B$8:$K$39,10)/12</f>
        <v>35.802959750000007</v>
      </c>
      <c r="Q54" s="120">
        <f t="shared" si="6"/>
        <v>2148.7945147609225</v>
      </c>
    </row>
    <row r="55" spans="2:17" x14ac:dyDescent="0.35">
      <c r="B55" s="10">
        <v>41</v>
      </c>
      <c r="C55" s="11">
        <f t="shared" si="0"/>
        <v>1517.9455240683837</v>
      </c>
      <c r="D55" s="11">
        <f t="shared" si="1"/>
        <v>1281.9365646828819</v>
      </c>
      <c r="E55" s="11">
        <f t="shared" si="7"/>
        <v>236.00895938550184</v>
      </c>
      <c r="F55" s="11">
        <f t="shared" si="8"/>
        <v>219524.54498625136</v>
      </c>
      <c r="H55" s="129">
        <f>IF(Principal!$D$25="Anual",IF(MOD(B55+1,12)=0,$W$2*((1+$W$3)^M55),0),$W$2*((1+$W$3)^M55)/12)</f>
        <v>356.93746613756866</v>
      </c>
      <c r="I55" s="68">
        <f t="shared" si="2"/>
        <v>2122.0549152059525</v>
      </c>
      <c r="J55" s="43">
        <f>SUM($I$14:I55)</f>
        <v>86836.999458069375</v>
      </c>
      <c r="K55" s="11">
        <f t="shared" si="3"/>
        <v>0</v>
      </c>
      <c r="L55" s="5">
        <f t="shared" si="4"/>
        <v>1874.8829902059524</v>
      </c>
      <c r="M55" s="10">
        <f t="shared" si="5"/>
        <v>3</v>
      </c>
      <c r="N55" s="189"/>
      <c r="O55" s="130">
        <f>IF(Principal!$D$30="Anual",IF(MOD(B55+1,12)=0,VLOOKUP(M55,'Flujos Anuales'!$B$8:$K$39,9),0),VLOOKUP(M55,'Flujos Anuales'!$B$8:$K$39,9)/12)</f>
        <v>238.10856480497043</v>
      </c>
      <c r="P55" s="120">
        <f>VLOOKUP(M55,'Flujos Anuales'!$B$8:$K$39,10)/12</f>
        <v>35.802959750000007</v>
      </c>
      <c r="Q55" s="120">
        <f t="shared" si="6"/>
        <v>2148.7945147609225</v>
      </c>
    </row>
    <row r="56" spans="2:17" x14ac:dyDescent="0.35">
      <c r="B56" s="10">
        <v>42</v>
      </c>
      <c r="C56" s="11">
        <f t="shared" si="0"/>
        <v>1517.9455240683837</v>
      </c>
      <c r="D56" s="11">
        <f t="shared" si="1"/>
        <v>1280.559845753133</v>
      </c>
      <c r="E56" s="11">
        <f t="shared" si="7"/>
        <v>237.38567831525074</v>
      </c>
      <c r="F56" s="11">
        <f t="shared" si="8"/>
        <v>219287.15930793612</v>
      </c>
      <c r="H56" s="129">
        <f>IF(Principal!$D$25="Anual",IF(MOD(B56+1,12)=0,$W$2*((1+$W$3)^M56),0),$W$2*((1+$W$3)^M56)/12)</f>
        <v>356.93746613756866</v>
      </c>
      <c r="I56" s="68">
        <f t="shared" si="2"/>
        <v>2122.0549152059525</v>
      </c>
      <c r="J56" s="43">
        <f>SUM($I$14:I56)</f>
        <v>88959.054373275329</v>
      </c>
      <c r="K56" s="11">
        <f t="shared" si="3"/>
        <v>0</v>
      </c>
      <c r="L56" s="5">
        <f t="shared" si="4"/>
        <v>1874.8829902059524</v>
      </c>
      <c r="M56" s="10">
        <f t="shared" si="5"/>
        <v>3</v>
      </c>
      <c r="N56" s="189"/>
      <c r="O56" s="130">
        <f>IF(Principal!$D$30="Anual",IF(MOD(B56+1,12)=0,VLOOKUP(M56,'Flujos Anuales'!$B$8:$K$39,9),0),VLOOKUP(M56,'Flujos Anuales'!$B$8:$K$39,9)/12)</f>
        <v>238.10856480497043</v>
      </c>
      <c r="P56" s="120">
        <f>VLOOKUP(M56,'Flujos Anuales'!$B$8:$K$39,10)/12</f>
        <v>35.802959750000007</v>
      </c>
      <c r="Q56" s="120">
        <f t="shared" si="6"/>
        <v>2148.7945147609225</v>
      </c>
    </row>
    <row r="57" spans="2:17" x14ac:dyDescent="0.35">
      <c r="B57" s="10">
        <v>43</v>
      </c>
      <c r="C57" s="11">
        <f t="shared" si="0"/>
        <v>1517.9455240683837</v>
      </c>
      <c r="D57" s="11">
        <f t="shared" si="1"/>
        <v>1279.1750959629608</v>
      </c>
      <c r="E57" s="11">
        <f t="shared" si="7"/>
        <v>238.77042810542298</v>
      </c>
      <c r="F57" s="11">
        <f t="shared" si="8"/>
        <v>219048.38887983069</v>
      </c>
      <c r="H57" s="129">
        <f>IF(Principal!$D$25="Anual",IF(MOD(B57+1,12)=0,$W$2*((1+$W$3)^M57),0),$W$2*((1+$W$3)^M57)/12)</f>
        <v>356.93746613756866</v>
      </c>
      <c r="I57" s="68">
        <f t="shared" si="2"/>
        <v>2122.0549152059525</v>
      </c>
      <c r="J57" s="43">
        <f>SUM($I$14:I57)</f>
        <v>91081.109288481282</v>
      </c>
      <c r="K57" s="11">
        <f t="shared" si="3"/>
        <v>0</v>
      </c>
      <c r="L57" s="5">
        <f t="shared" si="4"/>
        <v>1874.8829902059524</v>
      </c>
      <c r="M57" s="10">
        <f t="shared" si="5"/>
        <v>3</v>
      </c>
      <c r="N57" s="189"/>
      <c r="O57" s="130">
        <f>IF(Principal!$D$30="Anual",IF(MOD(B57+1,12)=0,VLOOKUP(M57,'Flujos Anuales'!$B$8:$K$39,9),0),VLOOKUP(M57,'Flujos Anuales'!$B$8:$K$39,9)/12)</f>
        <v>238.10856480497043</v>
      </c>
      <c r="P57" s="120">
        <f>VLOOKUP(M57,'Flujos Anuales'!$B$8:$K$39,10)/12</f>
        <v>35.802959750000007</v>
      </c>
      <c r="Q57" s="120">
        <f t="shared" si="6"/>
        <v>2148.7945147609225</v>
      </c>
    </row>
    <row r="58" spans="2:17" x14ac:dyDescent="0.35">
      <c r="B58" s="10">
        <v>44</v>
      </c>
      <c r="C58" s="11">
        <f t="shared" si="0"/>
        <v>1517.9455240683837</v>
      </c>
      <c r="D58" s="11">
        <f t="shared" si="1"/>
        <v>1277.782268465679</v>
      </c>
      <c r="E58" s="11">
        <f t="shared" si="7"/>
        <v>240.16325560270479</v>
      </c>
      <c r="F58" s="11">
        <f t="shared" si="8"/>
        <v>218808.22562422798</v>
      </c>
      <c r="H58" s="129">
        <f>IF(Principal!$D$25="Anual",IF(MOD(B58+1,12)=0,$W$2*((1+$W$3)^M58),0),$W$2*((1+$W$3)^M58)/12)</f>
        <v>356.93746613756866</v>
      </c>
      <c r="I58" s="68">
        <f t="shared" si="2"/>
        <v>2122.0549152059525</v>
      </c>
      <c r="J58" s="43">
        <f>SUM($I$14:I58)</f>
        <v>93203.164203687236</v>
      </c>
      <c r="K58" s="11">
        <f t="shared" si="3"/>
        <v>0</v>
      </c>
      <c r="L58" s="5">
        <f t="shared" si="4"/>
        <v>1874.8829902059524</v>
      </c>
      <c r="M58" s="10">
        <f t="shared" si="5"/>
        <v>3</v>
      </c>
      <c r="N58" s="189"/>
      <c r="O58" s="130">
        <f>IF(Principal!$D$30="Anual",IF(MOD(B58+1,12)=0,VLOOKUP(M58,'Flujos Anuales'!$B$8:$K$39,9),0),VLOOKUP(M58,'Flujos Anuales'!$B$8:$K$39,9)/12)</f>
        <v>238.10856480497043</v>
      </c>
      <c r="P58" s="120">
        <f>VLOOKUP(M58,'Flujos Anuales'!$B$8:$K$39,10)/12</f>
        <v>35.802959750000007</v>
      </c>
      <c r="Q58" s="120">
        <f t="shared" si="6"/>
        <v>2148.7945147609225</v>
      </c>
    </row>
    <row r="59" spans="2:17" x14ac:dyDescent="0.35">
      <c r="B59" s="10">
        <v>45</v>
      </c>
      <c r="C59" s="11">
        <f t="shared" si="0"/>
        <v>1517.9455240683837</v>
      </c>
      <c r="D59" s="11">
        <f t="shared" si="1"/>
        <v>1276.38131614133</v>
      </c>
      <c r="E59" s="11">
        <f t="shared" si="7"/>
        <v>241.56420792705376</v>
      </c>
      <c r="F59" s="11">
        <f t="shared" si="8"/>
        <v>218566.66141630092</v>
      </c>
      <c r="H59" s="129">
        <f>IF(Principal!$D$25="Anual",IF(MOD(B59+1,12)=0,$W$2*((1+$W$3)^M59),0),$W$2*((1+$W$3)^M59)/12)</f>
        <v>356.93746613756866</v>
      </c>
      <c r="I59" s="68">
        <f t="shared" si="2"/>
        <v>2122.0549152059525</v>
      </c>
      <c r="J59" s="43">
        <f>SUM($I$14:I59)</f>
        <v>95325.21911889319</v>
      </c>
      <c r="K59" s="11">
        <f t="shared" si="3"/>
        <v>0</v>
      </c>
      <c r="L59" s="5">
        <f t="shared" si="4"/>
        <v>1874.8829902059524</v>
      </c>
      <c r="M59" s="10">
        <f t="shared" si="5"/>
        <v>3</v>
      </c>
      <c r="N59" s="189"/>
      <c r="O59" s="130">
        <f>IF(Principal!$D$30="Anual",IF(MOD(B59+1,12)=0,VLOOKUP(M59,'Flujos Anuales'!$B$8:$K$39,9),0),VLOOKUP(M59,'Flujos Anuales'!$B$8:$K$39,9)/12)</f>
        <v>238.10856480497043</v>
      </c>
      <c r="P59" s="120">
        <f>VLOOKUP(M59,'Flujos Anuales'!$B$8:$K$39,10)/12</f>
        <v>35.802959750000007</v>
      </c>
      <c r="Q59" s="120">
        <f t="shared" si="6"/>
        <v>2148.7945147609225</v>
      </c>
    </row>
    <row r="60" spans="2:17" x14ac:dyDescent="0.35">
      <c r="B60" s="10">
        <v>46</v>
      </c>
      <c r="C60" s="11">
        <f t="shared" si="0"/>
        <v>1517.9455240683837</v>
      </c>
      <c r="D60" s="11">
        <f t="shared" si="1"/>
        <v>1274.9721915950888</v>
      </c>
      <c r="E60" s="11">
        <f t="shared" si="7"/>
        <v>242.97333247329493</v>
      </c>
      <c r="F60" s="11">
        <f t="shared" si="8"/>
        <v>218323.68808382764</v>
      </c>
      <c r="H60" s="129">
        <f>IF(Principal!$D$25="Anual",IF(MOD(B60+1,12)=0,$W$2*((1+$W$3)^M60),0),$W$2*((1+$W$3)^M60)/12)</f>
        <v>356.93746613756866</v>
      </c>
      <c r="I60" s="68">
        <f t="shared" si="2"/>
        <v>2122.0549152059525</v>
      </c>
      <c r="J60" s="43">
        <f>SUM($I$14:I60)</f>
        <v>97447.274034099144</v>
      </c>
      <c r="K60" s="11">
        <f t="shared" si="3"/>
        <v>0</v>
      </c>
      <c r="L60" s="5">
        <f t="shared" si="4"/>
        <v>1874.8829902059524</v>
      </c>
      <c r="M60" s="10">
        <f t="shared" si="5"/>
        <v>3</v>
      </c>
      <c r="N60" s="189"/>
      <c r="O60" s="130">
        <f>IF(Principal!$D$30="Anual",IF(MOD(B60+1,12)=0,VLOOKUP(M60,'Flujos Anuales'!$B$8:$K$39,9),0),VLOOKUP(M60,'Flujos Anuales'!$B$8:$K$39,9)/12)</f>
        <v>238.10856480497043</v>
      </c>
      <c r="P60" s="120">
        <f>VLOOKUP(M60,'Flujos Anuales'!$B$8:$K$39,10)/12</f>
        <v>35.802959750000007</v>
      </c>
      <c r="Q60" s="120">
        <f t="shared" si="6"/>
        <v>2148.7945147609225</v>
      </c>
    </row>
    <row r="61" spans="2:17" x14ac:dyDescent="0.35">
      <c r="B61" s="10">
        <v>47</v>
      </c>
      <c r="C61" s="11">
        <f t="shared" si="0"/>
        <v>1517.9455240683837</v>
      </c>
      <c r="D61" s="11">
        <f t="shared" si="1"/>
        <v>1273.5548471556613</v>
      </c>
      <c r="E61" s="11">
        <f t="shared" si="7"/>
        <v>244.39067691272248</v>
      </c>
      <c r="F61" s="11">
        <f t="shared" si="8"/>
        <v>218079.29740691491</v>
      </c>
      <c r="H61" s="129">
        <f>IF(Principal!$D$25="Anual",IF(MOD(B61+1,12)=0,$W$2*((1+$W$3)^M61),0),$W$2*((1+$W$3)^M61)/12)</f>
        <v>356.93746613756866</v>
      </c>
      <c r="I61" s="68">
        <f t="shared" si="2"/>
        <v>2122.0549152059525</v>
      </c>
      <c r="J61" s="43">
        <f>SUM($I$14:I61)</f>
        <v>99569.328949305098</v>
      </c>
      <c r="K61" s="11">
        <f t="shared" si="3"/>
        <v>0</v>
      </c>
      <c r="L61" s="5">
        <f t="shared" si="4"/>
        <v>1874.8829902059524</v>
      </c>
      <c r="M61" s="10">
        <f t="shared" si="5"/>
        <v>3</v>
      </c>
      <c r="N61" s="189"/>
      <c r="O61" s="130">
        <f>IF(Principal!$D$30="Anual",IF(MOD(B61+1,12)=0,VLOOKUP(M61,'Flujos Anuales'!$B$8:$K$39,9),0),VLOOKUP(M61,'Flujos Anuales'!$B$8:$K$39,9)/12)</f>
        <v>238.10856480497043</v>
      </c>
      <c r="P61" s="120">
        <f>VLOOKUP(M61,'Flujos Anuales'!$B$8:$K$39,10)/12</f>
        <v>35.802959750000007</v>
      </c>
      <c r="Q61" s="120">
        <f t="shared" si="6"/>
        <v>2148.7945147609225</v>
      </c>
    </row>
    <row r="62" spans="2:17" x14ac:dyDescent="0.35">
      <c r="B62" s="10">
        <v>48</v>
      </c>
      <c r="C62" s="11">
        <f t="shared" si="0"/>
        <v>1517.9455240683837</v>
      </c>
      <c r="D62" s="11">
        <f t="shared" si="1"/>
        <v>1272.1292348736704</v>
      </c>
      <c r="E62" s="11">
        <f t="shared" si="7"/>
        <v>245.81628919471336</v>
      </c>
      <c r="F62" s="11">
        <f t="shared" si="8"/>
        <v>217833.48111772019</v>
      </c>
      <c r="H62" s="129">
        <f>IF(Principal!$D$25="Anual",IF(MOD(B62+1,12)=0,$W$2*((1+$W$3)^M62),0),$W$2*((1+$W$3)^M62)/12)</f>
        <v>359.38894451899631</v>
      </c>
      <c r="I62" s="68">
        <f t="shared" si="2"/>
        <v>2124.50639358738</v>
      </c>
      <c r="J62" s="43">
        <f>SUM($I$14:I62)</f>
        <v>101693.83534289247</v>
      </c>
      <c r="K62" s="11">
        <f t="shared" si="3"/>
        <v>0</v>
      </c>
      <c r="L62" s="5">
        <f t="shared" si="4"/>
        <v>1877.3344685873799</v>
      </c>
      <c r="M62" s="10">
        <f t="shared" si="5"/>
        <v>4</v>
      </c>
      <c r="N62" s="189">
        <f>SUM(L62:L73)</f>
        <v>22528.013623048566</v>
      </c>
      <c r="O62" s="130">
        <f>IF(Principal!$D$30="Anual",IF(MOD(B62+1,12)=0,VLOOKUP(M62,'Flujos Anuales'!$B$8:$K$39,9),0),VLOOKUP(M62,'Flujos Anuales'!$B$8:$K$39,9)/12)</f>
        <v>248.98414142844646</v>
      </c>
      <c r="P62" s="120">
        <f>VLOOKUP(M62,'Flujos Anuales'!$B$8:$K$39,10)/12</f>
        <v>36.160989347500006</v>
      </c>
      <c r="Q62" s="120">
        <f t="shared" si="6"/>
        <v>2162.4795993633265</v>
      </c>
    </row>
    <row r="63" spans="2:17" x14ac:dyDescent="0.35">
      <c r="B63" s="10">
        <v>49</v>
      </c>
      <c r="C63" s="11">
        <f t="shared" si="0"/>
        <v>1517.9455240683837</v>
      </c>
      <c r="D63" s="11">
        <f t="shared" si="1"/>
        <v>1270.6953065200346</v>
      </c>
      <c r="E63" s="11">
        <f t="shared" si="7"/>
        <v>247.25021754834916</v>
      </c>
      <c r="F63" s="11">
        <f t="shared" si="8"/>
        <v>217586.23090017185</v>
      </c>
      <c r="H63" s="129">
        <f>IF(Principal!$D$25="Anual",IF(MOD(B63+1,12)=0,$W$2*((1+$W$3)^M63),0),$W$2*((1+$W$3)^M63)/12)</f>
        <v>359.38894451899631</v>
      </c>
      <c r="I63" s="68">
        <f t="shared" si="2"/>
        <v>2124.50639358738</v>
      </c>
      <c r="J63" s="43">
        <f>SUM($I$14:I63)</f>
        <v>103818.34173647985</v>
      </c>
      <c r="K63" s="11">
        <f t="shared" si="3"/>
        <v>0</v>
      </c>
      <c r="L63" s="5">
        <f t="shared" si="4"/>
        <v>1877.3344685873799</v>
      </c>
      <c r="M63" s="10">
        <f t="shared" si="5"/>
        <v>4</v>
      </c>
      <c r="N63" s="189"/>
      <c r="O63" s="130">
        <f>IF(Principal!$D$30="Anual",IF(MOD(B63+1,12)=0,VLOOKUP(M63,'Flujos Anuales'!$B$8:$K$39,9),0),VLOOKUP(M63,'Flujos Anuales'!$B$8:$K$39,9)/12)</f>
        <v>248.98414142844646</v>
      </c>
      <c r="P63" s="120">
        <f>VLOOKUP(M63,'Flujos Anuales'!$B$8:$K$39,10)/12</f>
        <v>36.160989347500006</v>
      </c>
      <c r="Q63" s="120">
        <f t="shared" si="6"/>
        <v>2162.4795993633265</v>
      </c>
    </row>
    <row r="64" spans="2:17" x14ac:dyDescent="0.35">
      <c r="B64" s="10">
        <v>50</v>
      </c>
      <c r="C64" s="11">
        <f t="shared" si="0"/>
        <v>1517.9455240683837</v>
      </c>
      <c r="D64" s="11">
        <f t="shared" si="1"/>
        <v>1269.2530135843358</v>
      </c>
      <c r="E64" s="11">
        <f t="shared" si="7"/>
        <v>248.69251048404794</v>
      </c>
      <c r="F64" s="11">
        <f t="shared" si="8"/>
        <v>217337.5383896878</v>
      </c>
      <c r="H64" s="129">
        <f>IF(Principal!$D$25="Anual",IF(MOD(B64+1,12)=0,$W$2*((1+$W$3)^M64),0),$W$2*((1+$W$3)^M64)/12)</f>
        <v>359.38894451899631</v>
      </c>
      <c r="I64" s="68">
        <f t="shared" si="2"/>
        <v>2124.50639358738</v>
      </c>
      <c r="J64" s="43">
        <f>SUM($I$14:I64)</f>
        <v>105942.84813006723</v>
      </c>
      <c r="K64" s="11">
        <f t="shared" si="3"/>
        <v>0</v>
      </c>
      <c r="L64" s="5">
        <f t="shared" si="4"/>
        <v>1877.3344685873799</v>
      </c>
      <c r="M64" s="10">
        <f t="shared" si="5"/>
        <v>4</v>
      </c>
      <c r="N64" s="189"/>
      <c r="O64" s="130">
        <f>IF(Principal!$D$30="Anual",IF(MOD(B64+1,12)=0,VLOOKUP(M64,'Flujos Anuales'!$B$8:$K$39,9),0),VLOOKUP(M64,'Flujos Anuales'!$B$8:$K$39,9)/12)</f>
        <v>248.98414142844646</v>
      </c>
      <c r="P64" s="120">
        <f>VLOOKUP(M64,'Flujos Anuales'!$B$8:$K$39,10)/12</f>
        <v>36.160989347500006</v>
      </c>
      <c r="Q64" s="120">
        <f t="shared" si="6"/>
        <v>2162.4795993633265</v>
      </c>
    </row>
    <row r="65" spans="2:17" x14ac:dyDescent="0.35">
      <c r="B65" s="10">
        <v>51</v>
      </c>
      <c r="C65" s="11">
        <f t="shared" si="0"/>
        <v>1517.9455240683837</v>
      </c>
      <c r="D65" s="11">
        <f t="shared" si="1"/>
        <v>1267.8023072731789</v>
      </c>
      <c r="E65" s="11">
        <f t="shared" si="7"/>
        <v>250.14321679520481</v>
      </c>
      <c r="F65" s="11">
        <f t="shared" si="8"/>
        <v>217087.3951728926</v>
      </c>
      <c r="H65" s="129">
        <f>IF(Principal!$D$25="Anual",IF(MOD(B65+1,12)=0,$W$2*((1+$W$3)^M65),0),$W$2*((1+$W$3)^M65)/12)</f>
        <v>359.38894451899631</v>
      </c>
      <c r="I65" s="68">
        <f t="shared" si="2"/>
        <v>2124.50639358738</v>
      </c>
      <c r="J65" s="43">
        <f>SUM($I$14:I65)</f>
        <v>108067.35452365461</v>
      </c>
      <c r="K65" s="11">
        <f t="shared" si="3"/>
        <v>0</v>
      </c>
      <c r="L65" s="5">
        <f t="shared" si="4"/>
        <v>1877.3344685873799</v>
      </c>
      <c r="M65" s="10">
        <f t="shared" si="5"/>
        <v>4</v>
      </c>
      <c r="N65" s="189"/>
      <c r="O65" s="130">
        <f>IF(Principal!$D$30="Anual",IF(MOD(B65+1,12)=0,VLOOKUP(M65,'Flujos Anuales'!$B$8:$K$39,9),0),VLOOKUP(M65,'Flujos Anuales'!$B$8:$K$39,9)/12)</f>
        <v>248.98414142844646</v>
      </c>
      <c r="P65" s="120">
        <f>VLOOKUP(M65,'Flujos Anuales'!$B$8:$K$39,10)/12</f>
        <v>36.160989347500006</v>
      </c>
      <c r="Q65" s="120">
        <f t="shared" si="6"/>
        <v>2162.4795993633265</v>
      </c>
    </row>
    <row r="66" spans="2:17" x14ac:dyDescent="0.35">
      <c r="B66" s="10">
        <v>52</v>
      </c>
      <c r="C66" s="11">
        <f t="shared" si="0"/>
        <v>1517.9455240683837</v>
      </c>
      <c r="D66" s="11">
        <f t="shared" si="1"/>
        <v>1266.3431385085403</v>
      </c>
      <c r="E66" s="11">
        <f t="shared" si="7"/>
        <v>251.60238555984347</v>
      </c>
      <c r="F66" s="11">
        <f t="shared" si="8"/>
        <v>216835.79278733276</v>
      </c>
      <c r="H66" s="129">
        <f>IF(Principal!$D$25="Anual",IF(MOD(B66+1,12)=0,$W$2*((1+$W$3)^M66),0),$W$2*((1+$W$3)^M66)/12)</f>
        <v>359.38894451899631</v>
      </c>
      <c r="I66" s="68">
        <f t="shared" si="2"/>
        <v>2124.50639358738</v>
      </c>
      <c r="J66" s="43">
        <f>SUM($I$14:I66)</f>
        <v>110191.86091724198</v>
      </c>
      <c r="K66" s="11">
        <f t="shared" si="3"/>
        <v>0</v>
      </c>
      <c r="L66" s="5">
        <f t="shared" si="4"/>
        <v>1877.3344685873799</v>
      </c>
      <c r="M66" s="10">
        <f t="shared" si="5"/>
        <v>4</v>
      </c>
      <c r="N66" s="189"/>
      <c r="O66" s="130">
        <f>IF(Principal!$D$30="Anual",IF(MOD(B66+1,12)=0,VLOOKUP(M66,'Flujos Anuales'!$B$8:$K$39,9),0),VLOOKUP(M66,'Flujos Anuales'!$B$8:$K$39,9)/12)</f>
        <v>248.98414142844646</v>
      </c>
      <c r="P66" s="120">
        <f>VLOOKUP(M66,'Flujos Anuales'!$B$8:$K$39,10)/12</f>
        <v>36.160989347500006</v>
      </c>
      <c r="Q66" s="120">
        <f t="shared" si="6"/>
        <v>2162.4795993633265</v>
      </c>
    </row>
    <row r="67" spans="2:17" x14ac:dyDescent="0.35">
      <c r="B67" s="10">
        <v>53</v>
      </c>
      <c r="C67" s="11">
        <f t="shared" si="0"/>
        <v>1517.9455240683837</v>
      </c>
      <c r="D67" s="11">
        <f t="shared" si="1"/>
        <v>1264.8754579261079</v>
      </c>
      <c r="E67" s="11">
        <f t="shared" si="7"/>
        <v>253.07006614227589</v>
      </c>
      <c r="F67" s="11">
        <f t="shared" si="8"/>
        <v>216582.72272119048</v>
      </c>
      <c r="H67" s="129">
        <f>IF(Principal!$D$25="Anual",IF(MOD(B67+1,12)=0,$W$2*((1+$W$3)^M67),0),$W$2*((1+$W$3)^M67)/12)</f>
        <v>359.38894451899631</v>
      </c>
      <c r="I67" s="68">
        <f t="shared" si="2"/>
        <v>2124.50639358738</v>
      </c>
      <c r="J67" s="43">
        <f>SUM($I$14:I67)</f>
        <v>112316.36731082936</v>
      </c>
      <c r="K67" s="11">
        <f t="shared" si="3"/>
        <v>0</v>
      </c>
      <c r="L67" s="5">
        <f t="shared" si="4"/>
        <v>1877.3344685873799</v>
      </c>
      <c r="M67" s="10">
        <f t="shared" si="5"/>
        <v>4</v>
      </c>
      <c r="N67" s="189"/>
      <c r="O67" s="130">
        <f>IF(Principal!$D$30="Anual",IF(MOD(B67+1,12)=0,VLOOKUP(M67,'Flujos Anuales'!$B$8:$K$39,9),0),VLOOKUP(M67,'Flujos Anuales'!$B$8:$K$39,9)/12)</f>
        <v>248.98414142844646</v>
      </c>
      <c r="P67" s="120">
        <f>VLOOKUP(M67,'Flujos Anuales'!$B$8:$K$39,10)/12</f>
        <v>36.160989347500006</v>
      </c>
      <c r="Q67" s="120">
        <f t="shared" si="6"/>
        <v>2162.4795993633265</v>
      </c>
    </row>
    <row r="68" spans="2:17" x14ac:dyDescent="0.35">
      <c r="B68" s="10">
        <v>54</v>
      </c>
      <c r="C68" s="11">
        <f t="shared" si="0"/>
        <v>1517.9455240683837</v>
      </c>
      <c r="D68" s="11">
        <f t="shared" si="1"/>
        <v>1263.3992158736112</v>
      </c>
      <c r="E68" s="11">
        <f t="shared" si="7"/>
        <v>254.54630819477256</v>
      </c>
      <c r="F68" s="11">
        <f t="shared" si="8"/>
        <v>216328.1764129957</v>
      </c>
      <c r="H68" s="129">
        <f>IF(Principal!$D$25="Anual",IF(MOD(B68+1,12)=0,$W$2*((1+$W$3)^M68),0),$W$2*((1+$W$3)^M68)/12)</f>
        <v>359.38894451899631</v>
      </c>
      <c r="I68" s="68">
        <f t="shared" si="2"/>
        <v>2124.50639358738</v>
      </c>
      <c r="J68" s="43">
        <f>SUM($I$14:I68)</f>
        <v>114440.87370441674</v>
      </c>
      <c r="K68" s="11">
        <f t="shared" si="3"/>
        <v>0</v>
      </c>
      <c r="L68" s="5">
        <f t="shared" si="4"/>
        <v>1877.3344685873799</v>
      </c>
      <c r="M68" s="10">
        <f t="shared" si="5"/>
        <v>4</v>
      </c>
      <c r="N68" s="189"/>
      <c r="O68" s="130">
        <f>IF(Principal!$D$30="Anual",IF(MOD(B68+1,12)=0,VLOOKUP(M68,'Flujos Anuales'!$B$8:$K$39,9),0),VLOOKUP(M68,'Flujos Anuales'!$B$8:$K$39,9)/12)</f>
        <v>248.98414142844646</v>
      </c>
      <c r="P68" s="120">
        <f>VLOOKUP(M68,'Flujos Anuales'!$B$8:$K$39,10)/12</f>
        <v>36.160989347500006</v>
      </c>
      <c r="Q68" s="120">
        <f t="shared" si="6"/>
        <v>2162.4795993633265</v>
      </c>
    </row>
    <row r="69" spans="2:17" x14ac:dyDescent="0.35">
      <c r="B69" s="10">
        <v>55</v>
      </c>
      <c r="C69" s="11">
        <f t="shared" si="0"/>
        <v>1517.9455240683837</v>
      </c>
      <c r="D69" s="11">
        <f t="shared" si="1"/>
        <v>1261.9143624091416</v>
      </c>
      <c r="E69" s="11">
        <f t="shared" si="7"/>
        <v>256.03116165924212</v>
      </c>
      <c r="F69" s="11">
        <f t="shared" si="8"/>
        <v>216072.14525133645</v>
      </c>
      <c r="H69" s="129">
        <f>IF(Principal!$D$25="Anual",IF(MOD(B69+1,12)=0,$W$2*((1+$W$3)^M69),0),$W$2*((1+$W$3)^M69)/12)</f>
        <v>359.38894451899631</v>
      </c>
      <c r="I69" s="68">
        <f t="shared" si="2"/>
        <v>2124.50639358738</v>
      </c>
      <c r="J69" s="43">
        <f>SUM($I$14:I69)</f>
        <v>116565.38009800411</v>
      </c>
      <c r="K69" s="11">
        <f t="shared" si="3"/>
        <v>0</v>
      </c>
      <c r="L69" s="5">
        <f t="shared" si="4"/>
        <v>1877.3344685873799</v>
      </c>
      <c r="M69" s="10">
        <f t="shared" si="5"/>
        <v>4</v>
      </c>
      <c r="N69" s="189"/>
      <c r="O69" s="130">
        <f>IF(Principal!$D$30="Anual",IF(MOD(B69+1,12)=0,VLOOKUP(M69,'Flujos Anuales'!$B$8:$K$39,9),0),VLOOKUP(M69,'Flujos Anuales'!$B$8:$K$39,9)/12)</f>
        <v>248.98414142844646</v>
      </c>
      <c r="P69" s="120">
        <f>VLOOKUP(M69,'Flujos Anuales'!$B$8:$K$39,10)/12</f>
        <v>36.160989347500006</v>
      </c>
      <c r="Q69" s="120">
        <f t="shared" si="6"/>
        <v>2162.4795993633265</v>
      </c>
    </row>
    <row r="70" spans="2:17" x14ac:dyDescent="0.35">
      <c r="B70" s="10">
        <v>56</v>
      </c>
      <c r="C70" s="11">
        <f t="shared" si="0"/>
        <v>1517.9455240683837</v>
      </c>
      <c r="D70" s="11">
        <f t="shared" si="1"/>
        <v>1260.4208472994626</v>
      </c>
      <c r="E70" s="11">
        <f t="shared" si="7"/>
        <v>257.52467676892115</v>
      </c>
      <c r="F70" s="11">
        <f t="shared" si="8"/>
        <v>215814.62057456753</v>
      </c>
      <c r="H70" s="129">
        <f>IF(Principal!$D$25="Anual",IF(MOD(B70+1,12)=0,$W$2*((1+$W$3)^M70),0),$W$2*((1+$W$3)^M70)/12)</f>
        <v>359.38894451899631</v>
      </c>
      <c r="I70" s="68">
        <f t="shared" si="2"/>
        <v>2124.50639358738</v>
      </c>
      <c r="J70" s="43">
        <f>SUM($I$14:I70)</f>
        <v>118689.88649159149</v>
      </c>
      <c r="K70" s="11">
        <f t="shared" si="3"/>
        <v>0</v>
      </c>
      <c r="L70" s="5">
        <f t="shared" si="4"/>
        <v>1877.3344685873799</v>
      </c>
      <c r="M70" s="10">
        <f t="shared" si="5"/>
        <v>4</v>
      </c>
      <c r="N70" s="189"/>
      <c r="O70" s="130">
        <f>IF(Principal!$D$30="Anual",IF(MOD(B70+1,12)=0,VLOOKUP(M70,'Flujos Anuales'!$B$8:$K$39,9),0),VLOOKUP(M70,'Flujos Anuales'!$B$8:$K$39,9)/12)</f>
        <v>248.98414142844646</v>
      </c>
      <c r="P70" s="120">
        <f>VLOOKUP(M70,'Flujos Anuales'!$B$8:$K$39,10)/12</f>
        <v>36.160989347500006</v>
      </c>
      <c r="Q70" s="120">
        <f t="shared" si="6"/>
        <v>2162.4795993633265</v>
      </c>
    </row>
    <row r="71" spans="2:17" x14ac:dyDescent="0.35">
      <c r="B71" s="10">
        <v>57</v>
      </c>
      <c r="C71" s="11">
        <f t="shared" si="0"/>
        <v>1517.9455240683837</v>
      </c>
      <c r="D71" s="11">
        <f t="shared" si="1"/>
        <v>1258.9186200183105</v>
      </c>
      <c r="E71" s="11">
        <f t="shared" si="7"/>
        <v>259.0269040500732</v>
      </c>
      <c r="F71" s="11">
        <f t="shared" si="8"/>
        <v>215555.59367051744</v>
      </c>
      <c r="H71" s="129">
        <f>IF(Principal!$D$25="Anual",IF(MOD(B71+1,12)=0,$W$2*((1+$W$3)^M71),0),$W$2*((1+$W$3)^M71)/12)</f>
        <v>359.38894451899631</v>
      </c>
      <c r="I71" s="68">
        <f t="shared" si="2"/>
        <v>2124.50639358738</v>
      </c>
      <c r="J71" s="43">
        <f>SUM($I$14:I71)</f>
        <v>120814.39288517887</v>
      </c>
      <c r="K71" s="11">
        <f t="shared" si="3"/>
        <v>0</v>
      </c>
      <c r="L71" s="5">
        <f t="shared" si="4"/>
        <v>1877.3344685873799</v>
      </c>
      <c r="M71" s="10">
        <f t="shared" si="5"/>
        <v>4</v>
      </c>
      <c r="N71" s="189"/>
      <c r="O71" s="130">
        <f>IF(Principal!$D$30="Anual",IF(MOD(B71+1,12)=0,VLOOKUP(M71,'Flujos Anuales'!$B$8:$K$39,9),0),VLOOKUP(M71,'Flujos Anuales'!$B$8:$K$39,9)/12)</f>
        <v>248.98414142844646</v>
      </c>
      <c r="P71" s="120">
        <f>VLOOKUP(M71,'Flujos Anuales'!$B$8:$K$39,10)/12</f>
        <v>36.160989347500006</v>
      </c>
      <c r="Q71" s="120">
        <f t="shared" si="6"/>
        <v>2162.4795993633265</v>
      </c>
    </row>
    <row r="72" spans="2:17" x14ac:dyDescent="0.35">
      <c r="B72" s="10">
        <v>58</v>
      </c>
      <c r="C72" s="11">
        <f t="shared" si="0"/>
        <v>1517.9455240683837</v>
      </c>
      <c r="D72" s="11">
        <f t="shared" si="1"/>
        <v>1257.4076297446852</v>
      </c>
      <c r="E72" s="11">
        <f t="shared" si="7"/>
        <v>260.53789432369854</v>
      </c>
      <c r="F72" s="11">
        <f t="shared" si="8"/>
        <v>215295.05577619374</v>
      </c>
      <c r="H72" s="129">
        <f>IF(Principal!$D$25="Anual",IF(MOD(B72+1,12)=0,$W$2*((1+$W$3)^M72),0),$W$2*((1+$W$3)^M72)/12)</f>
        <v>359.38894451899631</v>
      </c>
      <c r="I72" s="68">
        <f t="shared" si="2"/>
        <v>2124.50639358738</v>
      </c>
      <c r="J72" s="43">
        <f>SUM($I$14:I72)</f>
        <v>122938.89927876624</v>
      </c>
      <c r="K72" s="11">
        <f t="shared" si="3"/>
        <v>0</v>
      </c>
      <c r="L72" s="5">
        <f t="shared" si="4"/>
        <v>1877.3344685873799</v>
      </c>
      <c r="M72" s="10">
        <f t="shared" si="5"/>
        <v>4</v>
      </c>
      <c r="N72" s="189"/>
      <c r="O72" s="130">
        <f>IF(Principal!$D$30="Anual",IF(MOD(B72+1,12)=0,VLOOKUP(M72,'Flujos Anuales'!$B$8:$K$39,9),0),VLOOKUP(M72,'Flujos Anuales'!$B$8:$K$39,9)/12)</f>
        <v>248.98414142844646</v>
      </c>
      <c r="P72" s="120">
        <f>VLOOKUP(M72,'Flujos Anuales'!$B$8:$K$39,10)/12</f>
        <v>36.160989347500006</v>
      </c>
      <c r="Q72" s="120">
        <f t="shared" si="6"/>
        <v>2162.4795993633265</v>
      </c>
    </row>
    <row r="73" spans="2:17" x14ac:dyDescent="0.35">
      <c r="B73" s="10">
        <v>59</v>
      </c>
      <c r="C73" s="11">
        <f t="shared" si="0"/>
        <v>1517.9455240683837</v>
      </c>
      <c r="D73" s="11">
        <f t="shared" si="1"/>
        <v>1255.8878253611301</v>
      </c>
      <c r="E73" s="11">
        <f t="shared" si="7"/>
        <v>262.05769870725362</v>
      </c>
      <c r="F73" s="11">
        <f t="shared" si="8"/>
        <v>215032.9980774865</v>
      </c>
      <c r="H73" s="129">
        <f>IF(Principal!$D$25="Anual",IF(MOD(B73+1,12)=0,$W$2*((1+$W$3)^M73),0),$W$2*((1+$W$3)^M73)/12)</f>
        <v>359.38894451899631</v>
      </c>
      <c r="I73" s="68">
        <f t="shared" si="2"/>
        <v>2124.50639358738</v>
      </c>
      <c r="J73" s="43">
        <f>SUM($I$14:I73)</f>
        <v>125063.40567235362</v>
      </c>
      <c r="K73" s="11">
        <f t="shared" si="3"/>
        <v>0</v>
      </c>
      <c r="L73" s="5">
        <f t="shared" si="4"/>
        <v>1877.3344685873799</v>
      </c>
      <c r="M73" s="10">
        <f t="shared" si="5"/>
        <v>4</v>
      </c>
      <c r="N73" s="189"/>
      <c r="O73" s="130">
        <f>IF(Principal!$D$30="Anual",IF(MOD(B73+1,12)=0,VLOOKUP(M73,'Flujos Anuales'!$B$8:$K$39,9),0),VLOOKUP(M73,'Flujos Anuales'!$B$8:$K$39,9)/12)</f>
        <v>248.98414142844646</v>
      </c>
      <c r="P73" s="120">
        <f>VLOOKUP(M73,'Flujos Anuales'!$B$8:$K$39,10)/12</f>
        <v>36.160989347500006</v>
      </c>
      <c r="Q73" s="120">
        <f t="shared" si="6"/>
        <v>2162.4795993633265</v>
      </c>
    </row>
    <row r="74" spans="2:17" x14ac:dyDescent="0.35">
      <c r="B74" s="10">
        <v>60</v>
      </c>
      <c r="C74" s="11">
        <f t="shared" si="0"/>
        <v>1517.9455240683837</v>
      </c>
      <c r="D74" s="11">
        <f t="shared" si="1"/>
        <v>1254.3591554520046</v>
      </c>
      <c r="E74" s="11">
        <f t="shared" si="7"/>
        <v>263.5863686163791</v>
      </c>
      <c r="F74" s="11">
        <f t="shared" si="8"/>
        <v>214769.41170887012</v>
      </c>
      <c r="H74" s="129">
        <f>IF(Principal!$D$25="Anual",IF(MOD(B74+1,12)=0,$W$2*((1+$W$3)^M74),0),$W$2*((1+$W$3)^M74)/12)</f>
        <v>361.85725987279238</v>
      </c>
      <c r="I74" s="68">
        <f t="shared" si="2"/>
        <v>2126.9747089411762</v>
      </c>
      <c r="J74" s="43">
        <f>SUM($I$14:I74)</f>
        <v>127190.3803812948</v>
      </c>
      <c r="K74" s="11">
        <f t="shared" si="3"/>
        <v>0</v>
      </c>
      <c r="L74" s="5">
        <f t="shared" si="4"/>
        <v>1879.8027839411761</v>
      </c>
      <c r="M74" s="10">
        <f t="shared" si="5"/>
        <v>5</v>
      </c>
      <c r="N74" s="189">
        <f>SUM(L74:L85)</f>
        <v>22557.633407294121</v>
      </c>
      <c r="O74" s="130">
        <f>IF(Principal!$D$30="Anual",IF(MOD(B74+1,12)=0,VLOOKUP(M74,'Flujos Anuales'!$B$8:$K$39,9),0),VLOOKUP(M74,'Flujos Anuales'!$B$8:$K$39,9)/12)</f>
        <v>260.35645854922456</v>
      </c>
      <c r="P74" s="120">
        <f>VLOOKUP(M74,'Flujos Anuales'!$B$8:$K$39,10)/12</f>
        <v>36.522599240975005</v>
      </c>
      <c r="Q74" s="120">
        <f t="shared" si="6"/>
        <v>2176.6818417313757</v>
      </c>
    </row>
    <row r="75" spans="2:17" x14ac:dyDescent="0.35">
      <c r="B75" s="10">
        <v>61</v>
      </c>
      <c r="C75" s="11">
        <f t="shared" si="0"/>
        <v>1517.9455240683837</v>
      </c>
      <c r="D75" s="11">
        <f t="shared" si="1"/>
        <v>1252.8215683017424</v>
      </c>
      <c r="E75" s="11">
        <f t="shared" si="7"/>
        <v>265.1239557666413</v>
      </c>
      <c r="F75" s="11">
        <f t="shared" si="8"/>
        <v>214504.28775310348</v>
      </c>
      <c r="H75" s="129">
        <f>IF(Principal!$D$25="Anual",IF(MOD(B75+1,12)=0,$W$2*((1+$W$3)^M75),0),$W$2*((1+$W$3)^M75)/12)</f>
        <v>361.85725987279238</v>
      </c>
      <c r="I75" s="68">
        <f t="shared" si="2"/>
        <v>2126.9747089411762</v>
      </c>
      <c r="J75" s="43">
        <f>SUM($I$14:I75)</f>
        <v>129317.35509023599</v>
      </c>
      <c r="K75" s="11">
        <f t="shared" si="3"/>
        <v>0</v>
      </c>
      <c r="L75" s="5">
        <f t="shared" si="4"/>
        <v>1879.8027839411761</v>
      </c>
      <c r="M75" s="10">
        <f t="shared" si="5"/>
        <v>5</v>
      </c>
      <c r="N75" s="189"/>
      <c r="O75" s="130">
        <f>IF(Principal!$D$30="Anual",IF(MOD(B75+1,12)=0,VLOOKUP(M75,'Flujos Anuales'!$B$8:$K$39,9),0),VLOOKUP(M75,'Flujos Anuales'!$B$8:$K$39,9)/12)</f>
        <v>260.35645854922456</v>
      </c>
      <c r="P75" s="120">
        <f>VLOOKUP(M75,'Flujos Anuales'!$B$8:$K$39,10)/12</f>
        <v>36.522599240975005</v>
      </c>
      <c r="Q75" s="120">
        <f t="shared" si="6"/>
        <v>2176.6818417313757</v>
      </c>
    </row>
    <row r="76" spans="2:17" x14ac:dyDescent="0.35">
      <c r="B76" s="10">
        <v>62</v>
      </c>
      <c r="C76" s="11">
        <f t="shared" si="0"/>
        <v>1517.9455240683837</v>
      </c>
      <c r="D76" s="11">
        <f t="shared" si="1"/>
        <v>1251.2750118931037</v>
      </c>
      <c r="E76" s="11">
        <f t="shared" si="7"/>
        <v>266.67051217528001</v>
      </c>
      <c r="F76" s="11">
        <f t="shared" si="8"/>
        <v>214237.6172409282</v>
      </c>
      <c r="H76" s="129">
        <f>IF(Principal!$D$25="Anual",IF(MOD(B76+1,12)=0,$W$2*((1+$W$3)^M76),0),$W$2*((1+$W$3)^M76)/12)</f>
        <v>361.85725987279238</v>
      </c>
      <c r="I76" s="68">
        <f t="shared" si="2"/>
        <v>2126.9747089411762</v>
      </c>
      <c r="J76" s="43">
        <f>SUM($I$14:I76)</f>
        <v>131444.32979917715</v>
      </c>
      <c r="K76" s="11">
        <f t="shared" si="3"/>
        <v>0</v>
      </c>
      <c r="L76" s="5">
        <f t="shared" si="4"/>
        <v>1879.8027839411761</v>
      </c>
      <c r="M76" s="10">
        <f t="shared" si="5"/>
        <v>5</v>
      </c>
      <c r="N76" s="189"/>
      <c r="O76" s="130">
        <f>IF(Principal!$D$30="Anual",IF(MOD(B76+1,12)=0,VLOOKUP(M76,'Flujos Anuales'!$B$8:$K$39,9),0),VLOOKUP(M76,'Flujos Anuales'!$B$8:$K$39,9)/12)</f>
        <v>260.35645854922456</v>
      </c>
      <c r="P76" s="120">
        <f>VLOOKUP(M76,'Flujos Anuales'!$B$8:$K$39,10)/12</f>
        <v>36.522599240975005</v>
      </c>
      <c r="Q76" s="120">
        <f t="shared" si="6"/>
        <v>2176.6818417313757</v>
      </c>
    </row>
    <row r="77" spans="2:17" x14ac:dyDescent="0.35">
      <c r="B77" s="10">
        <v>63</v>
      </c>
      <c r="C77" s="11">
        <f t="shared" si="0"/>
        <v>1517.9455240683837</v>
      </c>
      <c r="D77" s="11">
        <f t="shared" si="1"/>
        <v>1249.7194339054145</v>
      </c>
      <c r="E77" s="11">
        <f t="shared" si="7"/>
        <v>268.22609016296929</v>
      </c>
      <c r="F77" s="11">
        <f t="shared" si="8"/>
        <v>213969.39115076524</v>
      </c>
      <c r="H77" s="129">
        <f>IF(Principal!$D$25="Anual",IF(MOD(B77+1,12)=0,$W$2*((1+$W$3)^M77),0),$W$2*((1+$W$3)^M77)/12)</f>
        <v>361.85725987279238</v>
      </c>
      <c r="I77" s="68">
        <f t="shared" si="2"/>
        <v>2126.9747089411762</v>
      </c>
      <c r="J77" s="43">
        <f>SUM($I$14:I77)</f>
        <v>133571.30450811834</v>
      </c>
      <c r="K77" s="11">
        <f t="shared" si="3"/>
        <v>0</v>
      </c>
      <c r="L77" s="5">
        <f t="shared" si="4"/>
        <v>1879.8027839411761</v>
      </c>
      <c r="M77" s="10">
        <f t="shared" si="5"/>
        <v>5</v>
      </c>
      <c r="N77" s="189"/>
      <c r="O77" s="130">
        <f>IF(Principal!$D$30="Anual",IF(MOD(B77+1,12)=0,VLOOKUP(M77,'Flujos Anuales'!$B$8:$K$39,9),0),VLOOKUP(M77,'Flujos Anuales'!$B$8:$K$39,9)/12)</f>
        <v>260.35645854922456</v>
      </c>
      <c r="P77" s="120">
        <f>VLOOKUP(M77,'Flujos Anuales'!$B$8:$K$39,10)/12</f>
        <v>36.522599240975005</v>
      </c>
      <c r="Q77" s="120">
        <f t="shared" si="6"/>
        <v>2176.6818417313757</v>
      </c>
    </row>
    <row r="78" spans="2:17" x14ac:dyDescent="0.35">
      <c r="B78" s="10">
        <v>64</v>
      </c>
      <c r="C78" s="11">
        <f t="shared" si="0"/>
        <v>1517.9455240683837</v>
      </c>
      <c r="D78" s="11">
        <f t="shared" si="1"/>
        <v>1248.1547817127973</v>
      </c>
      <c r="E78" s="11">
        <f t="shared" si="7"/>
        <v>269.79074235558642</v>
      </c>
      <c r="F78" s="11">
        <f t="shared" si="8"/>
        <v>213699.60040840966</v>
      </c>
      <c r="H78" s="129">
        <f>IF(Principal!$D$25="Anual",IF(MOD(B78+1,12)=0,$W$2*((1+$W$3)^M78),0),$W$2*((1+$W$3)^M78)/12)</f>
        <v>361.85725987279238</v>
      </c>
      <c r="I78" s="68">
        <f t="shared" si="2"/>
        <v>2126.9747089411762</v>
      </c>
      <c r="J78" s="43">
        <f>SUM($I$14:I78)</f>
        <v>135698.27921705952</v>
      </c>
      <c r="K78" s="11">
        <f t="shared" si="3"/>
        <v>0</v>
      </c>
      <c r="L78" s="5">
        <f t="shared" si="4"/>
        <v>1879.8027839411761</v>
      </c>
      <c r="M78" s="10">
        <f t="shared" si="5"/>
        <v>5</v>
      </c>
      <c r="N78" s="189"/>
      <c r="O78" s="130">
        <f>IF(Principal!$D$30="Anual",IF(MOD(B78+1,12)=0,VLOOKUP(M78,'Flujos Anuales'!$B$8:$K$39,9),0),VLOOKUP(M78,'Flujos Anuales'!$B$8:$K$39,9)/12)</f>
        <v>260.35645854922456</v>
      </c>
      <c r="P78" s="120">
        <f>VLOOKUP(M78,'Flujos Anuales'!$B$8:$K$39,10)/12</f>
        <v>36.522599240975005</v>
      </c>
      <c r="Q78" s="120">
        <f t="shared" si="6"/>
        <v>2176.6818417313757</v>
      </c>
    </row>
    <row r="79" spans="2:17" x14ac:dyDescent="0.35">
      <c r="B79" s="10">
        <v>65</v>
      </c>
      <c r="C79" s="11">
        <f t="shared" ref="C79:C142" si="10">$T$9</f>
        <v>1517.9455240683837</v>
      </c>
      <c r="D79" s="11">
        <f t="shared" ref="D79:D142" si="11">F78*$T$4</f>
        <v>1246.5810023823897</v>
      </c>
      <c r="E79" s="11">
        <f t="shared" si="7"/>
        <v>271.36452168599408</v>
      </c>
      <c r="F79" s="11">
        <f t="shared" si="8"/>
        <v>213428.23588672368</v>
      </c>
      <c r="H79" s="129">
        <f>IF(Principal!$D$25="Anual",IF(MOD(B79+1,12)=0,$W$2*((1+$W$3)^M79),0),$W$2*((1+$W$3)^M79)/12)</f>
        <v>361.85725987279238</v>
      </c>
      <c r="I79" s="68">
        <f t="shared" ref="I79:I142" si="12">C79+H79+$W$5</f>
        <v>2126.9747089411762</v>
      </c>
      <c r="J79" s="43">
        <f>SUM($I$14:I79)</f>
        <v>137825.2539260007</v>
      </c>
      <c r="K79" s="11">
        <f t="shared" ref="K79:K142" si="13">IF(J79&gt;=$W$6,0,$W$5)</f>
        <v>0</v>
      </c>
      <c r="L79" s="5">
        <f t="shared" ref="L79:L142" si="14">IF(K79=$W$5,I79,I79-$W$5)</f>
        <v>1879.8027839411761</v>
      </c>
      <c r="M79" s="10">
        <f t="shared" ref="M79:M142" si="15">ROUNDDOWN(B79/12,0)</f>
        <v>5</v>
      </c>
      <c r="N79" s="189"/>
      <c r="O79" s="130">
        <f>IF(Principal!$D$30="Anual",IF(MOD(B79+1,12)=0,VLOOKUP(M79,'Flujos Anuales'!$B$8:$K$39,9),0),VLOOKUP(M79,'Flujos Anuales'!$B$8:$K$39,9)/12)</f>
        <v>260.35645854922456</v>
      </c>
      <c r="P79" s="120">
        <f>VLOOKUP(M79,'Flujos Anuales'!$B$8:$K$39,10)/12</f>
        <v>36.522599240975005</v>
      </c>
      <c r="Q79" s="120">
        <f t="shared" ref="Q79:Q142" si="16">L79+O79+P79</f>
        <v>2176.6818417313757</v>
      </c>
    </row>
    <row r="80" spans="2:17" x14ac:dyDescent="0.35">
      <c r="B80" s="10">
        <v>66</v>
      </c>
      <c r="C80" s="11">
        <f t="shared" si="10"/>
        <v>1517.9455240683837</v>
      </c>
      <c r="D80" s="11">
        <f t="shared" si="11"/>
        <v>1244.9980426725549</v>
      </c>
      <c r="E80" s="11">
        <f t="shared" ref="E80:E143" si="17">C80-D80</f>
        <v>272.94748139582885</v>
      </c>
      <c r="F80" s="11">
        <f t="shared" ref="F80:F143" si="18">F79-E80</f>
        <v>213155.28840532785</v>
      </c>
      <c r="H80" s="129">
        <f>IF(Principal!$D$25="Anual",IF(MOD(B80+1,12)=0,$W$2*((1+$W$3)^M80),0),$W$2*((1+$W$3)^M80)/12)</f>
        <v>361.85725987279238</v>
      </c>
      <c r="I80" s="68">
        <f t="shared" si="12"/>
        <v>2126.9747089411762</v>
      </c>
      <c r="J80" s="43">
        <f>SUM($I$14:I80)</f>
        <v>139952.22863494189</v>
      </c>
      <c r="K80" s="11">
        <f t="shared" si="13"/>
        <v>0</v>
      </c>
      <c r="L80" s="5">
        <f t="shared" si="14"/>
        <v>1879.8027839411761</v>
      </c>
      <c r="M80" s="10">
        <f t="shared" si="15"/>
        <v>5</v>
      </c>
      <c r="N80" s="189"/>
      <c r="O80" s="130">
        <f>IF(Principal!$D$30="Anual",IF(MOD(B80+1,12)=0,VLOOKUP(M80,'Flujos Anuales'!$B$8:$K$39,9),0),VLOOKUP(M80,'Flujos Anuales'!$B$8:$K$39,9)/12)</f>
        <v>260.35645854922456</v>
      </c>
      <c r="P80" s="120">
        <f>VLOOKUP(M80,'Flujos Anuales'!$B$8:$K$39,10)/12</f>
        <v>36.522599240975005</v>
      </c>
      <c r="Q80" s="120">
        <f t="shared" si="16"/>
        <v>2176.6818417313757</v>
      </c>
    </row>
    <row r="81" spans="2:17" x14ac:dyDescent="0.35">
      <c r="B81" s="10">
        <v>67</v>
      </c>
      <c r="C81" s="11">
        <f t="shared" si="10"/>
        <v>1517.9455240683837</v>
      </c>
      <c r="D81" s="11">
        <f t="shared" si="11"/>
        <v>1243.4058490310792</v>
      </c>
      <c r="E81" s="11">
        <f t="shared" si="17"/>
        <v>274.53967503730451</v>
      </c>
      <c r="F81" s="11">
        <f t="shared" si="18"/>
        <v>212880.74873029054</v>
      </c>
      <c r="H81" s="129">
        <f>IF(Principal!$D$25="Anual",IF(MOD(B81+1,12)=0,$W$2*((1+$W$3)^M81),0),$W$2*((1+$W$3)^M81)/12)</f>
        <v>361.85725987279238</v>
      </c>
      <c r="I81" s="68">
        <f t="shared" si="12"/>
        <v>2126.9747089411762</v>
      </c>
      <c r="J81" s="43">
        <f>SUM($I$14:I81)</f>
        <v>142079.20334388307</v>
      </c>
      <c r="K81" s="11">
        <f t="shared" si="13"/>
        <v>0</v>
      </c>
      <c r="L81" s="5">
        <f t="shared" si="14"/>
        <v>1879.8027839411761</v>
      </c>
      <c r="M81" s="10">
        <f t="shared" si="15"/>
        <v>5</v>
      </c>
      <c r="N81" s="189"/>
      <c r="O81" s="130">
        <f>IF(Principal!$D$30="Anual",IF(MOD(B81+1,12)=0,VLOOKUP(M81,'Flujos Anuales'!$B$8:$K$39,9),0),VLOOKUP(M81,'Flujos Anuales'!$B$8:$K$39,9)/12)</f>
        <v>260.35645854922456</v>
      </c>
      <c r="P81" s="120">
        <f>VLOOKUP(M81,'Flujos Anuales'!$B$8:$K$39,10)/12</f>
        <v>36.522599240975005</v>
      </c>
      <c r="Q81" s="120">
        <f t="shared" si="16"/>
        <v>2176.6818417313757</v>
      </c>
    </row>
    <row r="82" spans="2:17" x14ac:dyDescent="0.35">
      <c r="B82" s="10">
        <v>68</v>
      </c>
      <c r="C82" s="11">
        <f t="shared" si="10"/>
        <v>1517.9455240683837</v>
      </c>
      <c r="D82" s="11">
        <f t="shared" si="11"/>
        <v>1241.8043675933616</v>
      </c>
      <c r="E82" s="11">
        <f t="shared" si="17"/>
        <v>276.14115647502217</v>
      </c>
      <c r="F82" s="11">
        <f t="shared" si="18"/>
        <v>212604.60757381551</v>
      </c>
      <c r="H82" s="129">
        <f>IF(Principal!$D$25="Anual",IF(MOD(B82+1,12)=0,$W$2*((1+$W$3)^M82),0),$W$2*((1+$W$3)^M82)/12)</f>
        <v>361.85725987279238</v>
      </c>
      <c r="I82" s="68">
        <f t="shared" si="12"/>
        <v>2126.9747089411762</v>
      </c>
      <c r="J82" s="43">
        <f>SUM($I$14:I82)</f>
        <v>144206.17805282425</v>
      </c>
      <c r="K82" s="11">
        <f t="shared" si="13"/>
        <v>0</v>
      </c>
      <c r="L82" s="5">
        <f t="shared" si="14"/>
        <v>1879.8027839411761</v>
      </c>
      <c r="M82" s="10">
        <f t="shared" si="15"/>
        <v>5</v>
      </c>
      <c r="N82" s="189"/>
      <c r="O82" s="130">
        <f>IF(Principal!$D$30="Anual",IF(MOD(B82+1,12)=0,VLOOKUP(M82,'Flujos Anuales'!$B$8:$K$39,9),0),VLOOKUP(M82,'Flujos Anuales'!$B$8:$K$39,9)/12)</f>
        <v>260.35645854922456</v>
      </c>
      <c r="P82" s="120">
        <f>VLOOKUP(M82,'Flujos Anuales'!$B$8:$K$39,10)/12</f>
        <v>36.522599240975005</v>
      </c>
      <c r="Q82" s="120">
        <f t="shared" si="16"/>
        <v>2176.6818417313757</v>
      </c>
    </row>
    <row r="83" spans="2:17" x14ac:dyDescent="0.35">
      <c r="B83" s="10">
        <v>69</v>
      </c>
      <c r="C83" s="11">
        <f t="shared" si="10"/>
        <v>1517.9455240683837</v>
      </c>
      <c r="D83" s="11">
        <f t="shared" si="11"/>
        <v>1240.1935441805906</v>
      </c>
      <c r="E83" s="11">
        <f t="shared" si="17"/>
        <v>277.75197988779314</v>
      </c>
      <c r="F83" s="11">
        <f t="shared" si="18"/>
        <v>212326.8555939277</v>
      </c>
      <c r="H83" s="129">
        <f>IF(Principal!$D$25="Anual",IF(MOD(B83+1,12)=0,$W$2*((1+$W$3)^M83),0),$W$2*((1+$W$3)^M83)/12)</f>
        <v>361.85725987279238</v>
      </c>
      <c r="I83" s="68">
        <f t="shared" si="12"/>
        <v>2126.9747089411762</v>
      </c>
      <c r="J83" s="43">
        <f>SUM($I$14:I83)</f>
        <v>146333.15276176544</v>
      </c>
      <c r="K83" s="11">
        <f t="shared" si="13"/>
        <v>0</v>
      </c>
      <c r="L83" s="5">
        <f t="shared" si="14"/>
        <v>1879.8027839411761</v>
      </c>
      <c r="M83" s="10">
        <f t="shared" si="15"/>
        <v>5</v>
      </c>
      <c r="N83" s="189"/>
      <c r="O83" s="130">
        <f>IF(Principal!$D$30="Anual",IF(MOD(B83+1,12)=0,VLOOKUP(M83,'Flujos Anuales'!$B$8:$K$39,9),0),VLOOKUP(M83,'Flujos Anuales'!$B$8:$K$39,9)/12)</f>
        <v>260.35645854922456</v>
      </c>
      <c r="P83" s="120">
        <f>VLOOKUP(M83,'Flujos Anuales'!$B$8:$K$39,10)/12</f>
        <v>36.522599240975005</v>
      </c>
      <c r="Q83" s="120">
        <f t="shared" si="16"/>
        <v>2176.6818417313757</v>
      </c>
    </row>
    <row r="84" spans="2:17" x14ac:dyDescent="0.35">
      <c r="B84" s="10">
        <v>70</v>
      </c>
      <c r="C84" s="11">
        <f t="shared" si="10"/>
        <v>1517.9455240683837</v>
      </c>
      <c r="D84" s="11">
        <f t="shared" si="11"/>
        <v>1238.5733242979115</v>
      </c>
      <c r="E84" s="11">
        <f t="shared" si="17"/>
        <v>279.37219977047221</v>
      </c>
      <c r="F84" s="11">
        <f t="shared" si="18"/>
        <v>212047.48339415723</v>
      </c>
      <c r="H84" s="129">
        <f>IF(Principal!$D$25="Anual",IF(MOD(B84+1,12)=0,$W$2*((1+$W$3)^M84),0),$W$2*((1+$W$3)^M84)/12)</f>
        <v>361.85725987279238</v>
      </c>
      <c r="I84" s="68">
        <f t="shared" si="12"/>
        <v>2126.9747089411762</v>
      </c>
      <c r="J84" s="43">
        <f>SUM($I$14:I84)</f>
        <v>148460.12747070662</v>
      </c>
      <c r="K84" s="11">
        <f t="shared" si="13"/>
        <v>0</v>
      </c>
      <c r="L84" s="5">
        <f t="shared" si="14"/>
        <v>1879.8027839411761</v>
      </c>
      <c r="M84" s="10">
        <f t="shared" si="15"/>
        <v>5</v>
      </c>
      <c r="N84" s="189"/>
      <c r="O84" s="130">
        <f>IF(Principal!$D$30="Anual",IF(MOD(B84+1,12)=0,VLOOKUP(M84,'Flujos Anuales'!$B$8:$K$39,9),0),VLOOKUP(M84,'Flujos Anuales'!$B$8:$K$39,9)/12)</f>
        <v>260.35645854922456</v>
      </c>
      <c r="P84" s="120">
        <f>VLOOKUP(M84,'Flujos Anuales'!$B$8:$K$39,10)/12</f>
        <v>36.522599240975005</v>
      </c>
      <c r="Q84" s="120">
        <f t="shared" si="16"/>
        <v>2176.6818417313757</v>
      </c>
    </row>
    <row r="85" spans="2:17" x14ac:dyDescent="0.35">
      <c r="B85" s="10">
        <v>71</v>
      </c>
      <c r="C85" s="11">
        <f t="shared" si="10"/>
        <v>1517.9455240683837</v>
      </c>
      <c r="D85" s="11">
        <f t="shared" si="11"/>
        <v>1236.9436531325839</v>
      </c>
      <c r="E85" s="11">
        <f t="shared" si="17"/>
        <v>281.00187093579984</v>
      </c>
      <c r="F85" s="11">
        <f t="shared" si="18"/>
        <v>211766.48152322142</v>
      </c>
      <c r="H85" s="129">
        <f>IF(Principal!$D$25="Anual",IF(MOD(B85+1,12)=0,$W$2*((1+$W$3)^M85),0),$W$2*((1+$W$3)^M85)/12)</f>
        <v>361.85725987279238</v>
      </c>
      <c r="I85" s="68">
        <f t="shared" si="12"/>
        <v>2126.9747089411762</v>
      </c>
      <c r="J85" s="43">
        <f>SUM($I$14:I85)</f>
        <v>150587.1021796478</v>
      </c>
      <c r="K85" s="11">
        <f t="shared" si="13"/>
        <v>0</v>
      </c>
      <c r="L85" s="5">
        <f t="shared" si="14"/>
        <v>1879.8027839411761</v>
      </c>
      <c r="M85" s="10">
        <f t="shared" si="15"/>
        <v>5</v>
      </c>
      <c r="N85" s="189"/>
      <c r="O85" s="130">
        <f>IF(Principal!$D$30="Anual",IF(MOD(B85+1,12)=0,VLOOKUP(M85,'Flujos Anuales'!$B$8:$K$39,9),0),VLOOKUP(M85,'Flujos Anuales'!$B$8:$K$39,9)/12)</f>
        <v>260.35645854922456</v>
      </c>
      <c r="P85" s="120">
        <f>VLOOKUP(M85,'Flujos Anuales'!$B$8:$K$39,10)/12</f>
        <v>36.522599240975005</v>
      </c>
      <c r="Q85" s="120">
        <f t="shared" si="16"/>
        <v>2176.6818417313757</v>
      </c>
    </row>
    <row r="86" spans="2:17" x14ac:dyDescent="0.35">
      <c r="B86" s="10">
        <v>72</v>
      </c>
      <c r="C86" s="11">
        <f t="shared" si="10"/>
        <v>1517.9455240683837</v>
      </c>
      <c r="D86" s="11">
        <f t="shared" si="11"/>
        <v>1235.304475552125</v>
      </c>
      <c r="E86" s="11">
        <f t="shared" si="17"/>
        <v>282.64104851625871</v>
      </c>
      <c r="F86" s="11">
        <f t="shared" si="18"/>
        <v>211483.84047470515</v>
      </c>
      <c r="H86" s="129">
        <f>IF(Principal!$D$25="Anual",IF(MOD(B86+1,12)=0,$W$2*((1+$W$3)^M86),0),$W$2*((1+$W$3)^M86)/12)</f>
        <v>364.34252783678613</v>
      </c>
      <c r="I86" s="68">
        <f t="shared" si="12"/>
        <v>2129.4599769051697</v>
      </c>
      <c r="J86" s="43">
        <f>SUM($I$14:I86)</f>
        <v>152716.56215655297</v>
      </c>
      <c r="K86" s="11">
        <f t="shared" si="13"/>
        <v>0</v>
      </c>
      <c r="L86" s="5">
        <f t="shared" si="14"/>
        <v>1882.2880519051696</v>
      </c>
      <c r="M86" s="10">
        <f t="shared" si="15"/>
        <v>6</v>
      </c>
      <c r="N86" s="189">
        <f>SUM(L86:L97)</f>
        <v>22587.456622862028</v>
      </c>
      <c r="O86" s="130">
        <f>IF(Principal!$D$30="Anual",IF(MOD(B86+1,12)=0,VLOOKUP(M86,'Flujos Anuales'!$B$8:$K$39,9),0),VLOOKUP(M86,'Flujos Anuales'!$B$8:$K$39,9)/12)</f>
        <v>272.24820472260654</v>
      </c>
      <c r="P86" s="120">
        <f>VLOOKUP(M86,'Flujos Anuales'!$B$8:$K$39,10)/12</f>
        <v>36.88782523338476</v>
      </c>
      <c r="Q86" s="120">
        <f t="shared" si="16"/>
        <v>2191.4240818611611</v>
      </c>
    </row>
    <row r="87" spans="2:17" x14ac:dyDescent="0.35">
      <c r="B87" s="10">
        <v>73</v>
      </c>
      <c r="C87" s="11">
        <f t="shared" si="10"/>
        <v>1517.9455240683837</v>
      </c>
      <c r="D87" s="11">
        <f t="shared" si="11"/>
        <v>1233.6557361024468</v>
      </c>
      <c r="E87" s="11">
        <f t="shared" si="17"/>
        <v>284.28978796593697</v>
      </c>
      <c r="F87" s="11">
        <f t="shared" si="18"/>
        <v>211199.55068673921</v>
      </c>
      <c r="H87" s="129">
        <f>IF(Principal!$D$25="Anual",IF(MOD(B87+1,12)=0,$W$2*((1+$W$3)^M87),0),$W$2*((1+$W$3)^M87)/12)</f>
        <v>364.34252783678613</v>
      </c>
      <c r="I87" s="68">
        <f t="shared" si="12"/>
        <v>2129.4599769051697</v>
      </c>
      <c r="J87" s="43">
        <f>SUM($I$14:I87)</f>
        <v>154846.02213345814</v>
      </c>
      <c r="K87" s="11">
        <f t="shared" si="13"/>
        <v>0</v>
      </c>
      <c r="L87" s="5">
        <f t="shared" si="14"/>
        <v>1882.2880519051696</v>
      </c>
      <c r="M87" s="10">
        <f t="shared" si="15"/>
        <v>6</v>
      </c>
      <c r="N87" s="189"/>
      <c r="O87" s="130">
        <f>IF(Principal!$D$30="Anual",IF(MOD(B87+1,12)=0,VLOOKUP(M87,'Flujos Anuales'!$B$8:$K$39,9),0),VLOOKUP(M87,'Flujos Anuales'!$B$8:$K$39,9)/12)</f>
        <v>272.24820472260654</v>
      </c>
      <c r="P87" s="120">
        <f>VLOOKUP(M87,'Flujos Anuales'!$B$8:$K$39,10)/12</f>
        <v>36.88782523338476</v>
      </c>
      <c r="Q87" s="120">
        <f t="shared" si="16"/>
        <v>2191.4240818611611</v>
      </c>
    </row>
    <row r="88" spans="2:17" x14ac:dyDescent="0.35">
      <c r="B88" s="10">
        <v>74</v>
      </c>
      <c r="C88" s="11">
        <f t="shared" si="10"/>
        <v>1517.9455240683837</v>
      </c>
      <c r="D88" s="11">
        <f t="shared" si="11"/>
        <v>1231.9973790059787</v>
      </c>
      <c r="E88" s="11">
        <f t="shared" si="17"/>
        <v>285.94814506240505</v>
      </c>
      <c r="F88" s="11">
        <f t="shared" si="18"/>
        <v>210913.60254167681</v>
      </c>
      <c r="H88" s="129">
        <f>IF(Principal!$D$25="Anual",IF(MOD(B88+1,12)=0,$W$2*((1+$W$3)^M88),0),$W$2*((1+$W$3)^M88)/12)</f>
        <v>364.34252783678613</v>
      </c>
      <c r="I88" s="68">
        <f t="shared" si="12"/>
        <v>2129.4599769051697</v>
      </c>
      <c r="J88" s="43">
        <f>SUM($I$14:I88)</f>
        <v>156975.48211036331</v>
      </c>
      <c r="K88" s="11">
        <f t="shared" si="13"/>
        <v>0</v>
      </c>
      <c r="L88" s="5">
        <f t="shared" si="14"/>
        <v>1882.2880519051696</v>
      </c>
      <c r="M88" s="10">
        <f t="shared" si="15"/>
        <v>6</v>
      </c>
      <c r="N88" s="189"/>
      <c r="O88" s="130">
        <f>IF(Principal!$D$30="Anual",IF(MOD(B88+1,12)=0,VLOOKUP(M88,'Flujos Anuales'!$B$8:$K$39,9),0),VLOOKUP(M88,'Flujos Anuales'!$B$8:$K$39,9)/12)</f>
        <v>272.24820472260654</v>
      </c>
      <c r="P88" s="120">
        <f>VLOOKUP(M88,'Flujos Anuales'!$B$8:$K$39,10)/12</f>
        <v>36.88782523338476</v>
      </c>
      <c r="Q88" s="120">
        <f t="shared" si="16"/>
        <v>2191.4240818611611</v>
      </c>
    </row>
    <row r="89" spans="2:17" x14ac:dyDescent="0.35">
      <c r="B89" s="10">
        <v>75</v>
      </c>
      <c r="C89" s="11">
        <f t="shared" si="10"/>
        <v>1517.9455240683837</v>
      </c>
      <c r="D89" s="11">
        <f t="shared" si="11"/>
        <v>1230.3293481597814</v>
      </c>
      <c r="E89" s="11">
        <f t="shared" si="17"/>
        <v>287.61617590860237</v>
      </c>
      <c r="F89" s="11">
        <f t="shared" si="18"/>
        <v>210625.98636576821</v>
      </c>
      <c r="H89" s="129">
        <f>IF(Principal!$D$25="Anual",IF(MOD(B89+1,12)=0,$W$2*((1+$W$3)^M89),0),$W$2*((1+$W$3)^M89)/12)</f>
        <v>364.34252783678613</v>
      </c>
      <c r="I89" s="68">
        <f t="shared" si="12"/>
        <v>2129.4599769051697</v>
      </c>
      <c r="J89" s="43">
        <f>SUM($I$14:I89)</f>
        <v>159104.94208726849</v>
      </c>
      <c r="K89" s="11">
        <f t="shared" si="13"/>
        <v>0</v>
      </c>
      <c r="L89" s="5">
        <f t="shared" si="14"/>
        <v>1882.2880519051696</v>
      </c>
      <c r="M89" s="10">
        <f t="shared" si="15"/>
        <v>6</v>
      </c>
      <c r="N89" s="189"/>
      <c r="O89" s="130">
        <f>IF(Principal!$D$30="Anual",IF(MOD(B89+1,12)=0,VLOOKUP(M89,'Flujos Anuales'!$B$8:$K$39,9),0),VLOOKUP(M89,'Flujos Anuales'!$B$8:$K$39,9)/12)</f>
        <v>272.24820472260654</v>
      </c>
      <c r="P89" s="120">
        <f>VLOOKUP(M89,'Flujos Anuales'!$B$8:$K$39,10)/12</f>
        <v>36.88782523338476</v>
      </c>
      <c r="Q89" s="120">
        <f t="shared" si="16"/>
        <v>2191.4240818611611</v>
      </c>
    </row>
    <row r="90" spans="2:17" x14ac:dyDescent="0.35">
      <c r="B90" s="10">
        <v>76</v>
      </c>
      <c r="C90" s="11">
        <f t="shared" si="10"/>
        <v>1517.9455240683837</v>
      </c>
      <c r="D90" s="11">
        <f t="shared" si="11"/>
        <v>1228.651587133648</v>
      </c>
      <c r="E90" s="11">
        <f t="shared" si="17"/>
        <v>289.29393693473571</v>
      </c>
      <c r="F90" s="11">
        <f t="shared" si="18"/>
        <v>210336.69242883348</v>
      </c>
      <c r="H90" s="129">
        <f>IF(Principal!$D$25="Anual",IF(MOD(B90+1,12)=0,$W$2*((1+$W$3)^M90),0),$W$2*((1+$W$3)^M90)/12)</f>
        <v>364.34252783678613</v>
      </c>
      <c r="I90" s="68">
        <f t="shared" si="12"/>
        <v>2129.4599769051697</v>
      </c>
      <c r="J90" s="43">
        <f>SUM($I$14:I90)</f>
        <v>161234.40206417366</v>
      </c>
      <c r="K90" s="11">
        <f t="shared" si="13"/>
        <v>0</v>
      </c>
      <c r="L90" s="5">
        <f t="shared" si="14"/>
        <v>1882.2880519051696</v>
      </c>
      <c r="M90" s="10">
        <f t="shared" si="15"/>
        <v>6</v>
      </c>
      <c r="N90" s="189"/>
      <c r="O90" s="130">
        <f>IF(Principal!$D$30="Anual",IF(MOD(B90+1,12)=0,VLOOKUP(M90,'Flujos Anuales'!$B$8:$K$39,9),0),VLOOKUP(M90,'Flujos Anuales'!$B$8:$K$39,9)/12)</f>
        <v>272.24820472260654</v>
      </c>
      <c r="P90" s="120">
        <f>VLOOKUP(M90,'Flujos Anuales'!$B$8:$K$39,10)/12</f>
        <v>36.88782523338476</v>
      </c>
      <c r="Q90" s="120">
        <f t="shared" si="16"/>
        <v>2191.4240818611611</v>
      </c>
    </row>
    <row r="91" spans="2:17" x14ac:dyDescent="0.35">
      <c r="B91" s="10">
        <v>77</v>
      </c>
      <c r="C91" s="11">
        <f t="shared" si="10"/>
        <v>1517.9455240683837</v>
      </c>
      <c r="D91" s="11">
        <f t="shared" si="11"/>
        <v>1226.9640391681953</v>
      </c>
      <c r="E91" s="11">
        <f t="shared" si="17"/>
        <v>290.98148490018843</v>
      </c>
      <c r="F91" s="11">
        <f t="shared" si="18"/>
        <v>210045.71094393329</v>
      </c>
      <c r="H91" s="129">
        <f>IF(Principal!$D$25="Anual",IF(MOD(B91+1,12)=0,$W$2*((1+$W$3)^M91),0),$W$2*((1+$W$3)^M91)/12)</f>
        <v>364.34252783678613</v>
      </c>
      <c r="I91" s="68">
        <f t="shared" si="12"/>
        <v>2129.4599769051697</v>
      </c>
      <c r="J91" s="43">
        <f>SUM($I$14:I91)</f>
        <v>163363.86204107883</v>
      </c>
      <c r="K91" s="11">
        <f t="shared" si="13"/>
        <v>0</v>
      </c>
      <c r="L91" s="5">
        <f t="shared" si="14"/>
        <v>1882.2880519051696</v>
      </c>
      <c r="M91" s="10">
        <f t="shared" si="15"/>
        <v>6</v>
      </c>
      <c r="N91" s="189"/>
      <c r="O91" s="130">
        <f>IF(Principal!$D$30="Anual",IF(MOD(B91+1,12)=0,VLOOKUP(M91,'Flujos Anuales'!$B$8:$K$39,9),0),VLOOKUP(M91,'Flujos Anuales'!$B$8:$K$39,9)/12)</f>
        <v>272.24820472260654</v>
      </c>
      <c r="P91" s="120">
        <f>VLOOKUP(M91,'Flujos Anuales'!$B$8:$K$39,10)/12</f>
        <v>36.88782523338476</v>
      </c>
      <c r="Q91" s="120">
        <f t="shared" si="16"/>
        <v>2191.4240818611611</v>
      </c>
    </row>
    <row r="92" spans="2:17" x14ac:dyDescent="0.35">
      <c r="B92" s="10">
        <v>78</v>
      </c>
      <c r="C92" s="11">
        <f t="shared" si="10"/>
        <v>1517.9455240683837</v>
      </c>
      <c r="D92" s="11">
        <f t="shared" si="11"/>
        <v>1225.2666471729442</v>
      </c>
      <c r="E92" s="11">
        <f t="shared" si="17"/>
        <v>292.67887689543954</v>
      </c>
      <c r="F92" s="11">
        <f t="shared" si="18"/>
        <v>209753.03206703786</v>
      </c>
      <c r="H92" s="129">
        <f>IF(Principal!$D$25="Anual",IF(MOD(B92+1,12)=0,$W$2*((1+$W$3)^M92),0),$W$2*((1+$W$3)^M92)/12)</f>
        <v>364.34252783678613</v>
      </c>
      <c r="I92" s="68">
        <f t="shared" si="12"/>
        <v>2129.4599769051697</v>
      </c>
      <c r="J92" s="43">
        <f>SUM($I$14:I92)</f>
        <v>165493.322017984</v>
      </c>
      <c r="K92" s="11">
        <f t="shared" si="13"/>
        <v>0</v>
      </c>
      <c r="L92" s="5">
        <f t="shared" si="14"/>
        <v>1882.2880519051696</v>
      </c>
      <c r="M92" s="10">
        <f t="shared" si="15"/>
        <v>6</v>
      </c>
      <c r="N92" s="189"/>
      <c r="O92" s="130">
        <f>IF(Principal!$D$30="Anual",IF(MOD(B92+1,12)=0,VLOOKUP(M92,'Flujos Anuales'!$B$8:$K$39,9),0),VLOOKUP(M92,'Flujos Anuales'!$B$8:$K$39,9)/12)</f>
        <v>272.24820472260654</v>
      </c>
      <c r="P92" s="120">
        <f>VLOOKUP(M92,'Flujos Anuales'!$B$8:$K$39,10)/12</f>
        <v>36.88782523338476</v>
      </c>
      <c r="Q92" s="120">
        <f t="shared" si="16"/>
        <v>2191.4240818611611</v>
      </c>
    </row>
    <row r="93" spans="2:17" x14ac:dyDescent="0.35">
      <c r="B93" s="10">
        <v>79</v>
      </c>
      <c r="C93" s="11">
        <f t="shared" si="10"/>
        <v>1517.9455240683837</v>
      </c>
      <c r="D93" s="11">
        <f t="shared" si="11"/>
        <v>1223.5593537243876</v>
      </c>
      <c r="E93" s="11">
        <f t="shared" si="17"/>
        <v>294.38617034399613</v>
      </c>
      <c r="F93" s="11">
        <f t="shared" si="18"/>
        <v>209458.64589669387</v>
      </c>
      <c r="H93" s="129">
        <f>IF(Principal!$D$25="Anual",IF(MOD(B93+1,12)=0,$W$2*((1+$W$3)^M93),0),$W$2*((1+$W$3)^M93)/12)</f>
        <v>364.34252783678613</v>
      </c>
      <c r="I93" s="68">
        <f t="shared" si="12"/>
        <v>2129.4599769051697</v>
      </c>
      <c r="J93" s="43">
        <f>SUM($I$14:I93)</f>
        <v>167622.78199488917</v>
      </c>
      <c r="K93" s="11">
        <f t="shared" si="13"/>
        <v>0</v>
      </c>
      <c r="L93" s="5">
        <f t="shared" si="14"/>
        <v>1882.2880519051696</v>
      </c>
      <c r="M93" s="10">
        <f t="shared" si="15"/>
        <v>6</v>
      </c>
      <c r="N93" s="189"/>
      <c r="O93" s="130">
        <f>IF(Principal!$D$30="Anual",IF(MOD(B93+1,12)=0,VLOOKUP(M93,'Flujos Anuales'!$B$8:$K$39,9),0),VLOOKUP(M93,'Flujos Anuales'!$B$8:$K$39,9)/12)</f>
        <v>272.24820472260654</v>
      </c>
      <c r="P93" s="120">
        <f>VLOOKUP(M93,'Flujos Anuales'!$B$8:$K$39,10)/12</f>
        <v>36.88782523338476</v>
      </c>
      <c r="Q93" s="120">
        <f t="shared" si="16"/>
        <v>2191.4240818611611</v>
      </c>
    </row>
    <row r="94" spans="2:17" x14ac:dyDescent="0.35">
      <c r="B94" s="10">
        <v>80</v>
      </c>
      <c r="C94" s="11">
        <f t="shared" si="10"/>
        <v>1517.9455240683837</v>
      </c>
      <c r="D94" s="11">
        <f t="shared" si="11"/>
        <v>1221.8421010640477</v>
      </c>
      <c r="E94" s="11">
        <f t="shared" si="17"/>
        <v>296.10342300433604</v>
      </c>
      <c r="F94" s="11">
        <f t="shared" si="18"/>
        <v>209162.54247368954</v>
      </c>
      <c r="H94" s="129">
        <f>IF(Principal!$D$25="Anual",IF(MOD(B94+1,12)=0,$W$2*((1+$W$3)^M94),0),$W$2*((1+$W$3)^M94)/12)</f>
        <v>364.34252783678613</v>
      </c>
      <c r="I94" s="68">
        <f t="shared" si="12"/>
        <v>2129.4599769051697</v>
      </c>
      <c r="J94" s="43">
        <f>SUM($I$14:I94)</f>
        <v>169752.24197179434</v>
      </c>
      <c r="K94" s="11">
        <f t="shared" si="13"/>
        <v>0</v>
      </c>
      <c r="L94" s="5">
        <f t="shared" si="14"/>
        <v>1882.2880519051696</v>
      </c>
      <c r="M94" s="10">
        <f t="shared" si="15"/>
        <v>6</v>
      </c>
      <c r="N94" s="189"/>
      <c r="O94" s="130">
        <f>IF(Principal!$D$30="Anual",IF(MOD(B94+1,12)=0,VLOOKUP(M94,'Flujos Anuales'!$B$8:$K$39,9),0),VLOOKUP(M94,'Flujos Anuales'!$B$8:$K$39,9)/12)</f>
        <v>272.24820472260654</v>
      </c>
      <c r="P94" s="120">
        <f>VLOOKUP(M94,'Flujos Anuales'!$B$8:$K$39,10)/12</f>
        <v>36.88782523338476</v>
      </c>
      <c r="Q94" s="120">
        <f t="shared" si="16"/>
        <v>2191.4240818611611</v>
      </c>
    </row>
    <row r="95" spans="2:17" x14ac:dyDescent="0.35">
      <c r="B95" s="10">
        <v>81</v>
      </c>
      <c r="C95" s="11">
        <f t="shared" si="10"/>
        <v>1517.9455240683837</v>
      </c>
      <c r="D95" s="11">
        <f t="shared" si="11"/>
        <v>1220.1148310965223</v>
      </c>
      <c r="E95" s="11">
        <f t="shared" si="17"/>
        <v>297.83069297186148</v>
      </c>
      <c r="F95" s="11">
        <f t="shared" si="18"/>
        <v>208864.71178071768</v>
      </c>
      <c r="H95" s="129">
        <f>IF(Principal!$D$25="Anual",IF(MOD(B95+1,12)=0,$W$2*((1+$W$3)^M95),0),$W$2*((1+$W$3)^M95)/12)</f>
        <v>364.34252783678613</v>
      </c>
      <c r="I95" s="68">
        <f t="shared" si="12"/>
        <v>2129.4599769051697</v>
      </c>
      <c r="J95" s="43">
        <f>SUM($I$14:I95)</f>
        <v>171881.70194869951</v>
      </c>
      <c r="K95" s="11">
        <f t="shared" si="13"/>
        <v>0</v>
      </c>
      <c r="L95" s="5">
        <f t="shared" si="14"/>
        <v>1882.2880519051696</v>
      </c>
      <c r="M95" s="10">
        <f t="shared" si="15"/>
        <v>6</v>
      </c>
      <c r="N95" s="189"/>
      <c r="O95" s="130">
        <f>IF(Principal!$D$30="Anual",IF(MOD(B95+1,12)=0,VLOOKUP(M95,'Flujos Anuales'!$B$8:$K$39,9),0),VLOOKUP(M95,'Flujos Anuales'!$B$8:$K$39,9)/12)</f>
        <v>272.24820472260654</v>
      </c>
      <c r="P95" s="120">
        <f>VLOOKUP(M95,'Flujos Anuales'!$B$8:$K$39,10)/12</f>
        <v>36.88782523338476</v>
      </c>
      <c r="Q95" s="120">
        <f t="shared" si="16"/>
        <v>2191.4240818611611</v>
      </c>
    </row>
    <row r="96" spans="2:17" x14ac:dyDescent="0.35">
      <c r="B96" s="10">
        <v>82</v>
      </c>
      <c r="C96" s="11">
        <f t="shared" si="10"/>
        <v>1517.9455240683837</v>
      </c>
      <c r="D96" s="11">
        <f t="shared" si="11"/>
        <v>1218.37748538752</v>
      </c>
      <c r="E96" s="11">
        <f t="shared" si="17"/>
        <v>299.56803868086376</v>
      </c>
      <c r="F96" s="11">
        <f t="shared" si="18"/>
        <v>208565.14374203683</v>
      </c>
      <c r="H96" s="129">
        <f>IF(Principal!$D$25="Anual",IF(MOD(B96+1,12)=0,$W$2*((1+$W$3)^M96),0),$W$2*((1+$W$3)^M96)/12)</f>
        <v>364.34252783678613</v>
      </c>
      <c r="I96" s="68">
        <f t="shared" si="12"/>
        <v>2129.4599769051697</v>
      </c>
      <c r="J96" s="43">
        <f>SUM($I$14:I96)</f>
        <v>174011.16192560468</v>
      </c>
      <c r="K96" s="11">
        <f t="shared" si="13"/>
        <v>0</v>
      </c>
      <c r="L96" s="5">
        <f t="shared" si="14"/>
        <v>1882.2880519051696</v>
      </c>
      <c r="M96" s="10">
        <f t="shared" si="15"/>
        <v>6</v>
      </c>
      <c r="N96" s="189"/>
      <c r="O96" s="130">
        <f>IF(Principal!$D$30="Anual",IF(MOD(B96+1,12)=0,VLOOKUP(M96,'Flujos Anuales'!$B$8:$K$39,9),0),VLOOKUP(M96,'Flujos Anuales'!$B$8:$K$39,9)/12)</f>
        <v>272.24820472260654</v>
      </c>
      <c r="P96" s="120">
        <f>VLOOKUP(M96,'Flujos Anuales'!$B$8:$K$39,10)/12</f>
        <v>36.88782523338476</v>
      </c>
      <c r="Q96" s="120">
        <f t="shared" si="16"/>
        <v>2191.4240818611611</v>
      </c>
    </row>
    <row r="97" spans="2:17" x14ac:dyDescent="0.35">
      <c r="B97" s="10">
        <v>83</v>
      </c>
      <c r="C97" s="11">
        <f t="shared" si="10"/>
        <v>1517.9455240683837</v>
      </c>
      <c r="D97" s="11">
        <f t="shared" si="11"/>
        <v>1216.6300051618816</v>
      </c>
      <c r="E97" s="11">
        <f t="shared" si="17"/>
        <v>301.31551890650212</v>
      </c>
      <c r="F97" s="11">
        <f t="shared" si="18"/>
        <v>208263.82822313032</v>
      </c>
      <c r="H97" s="129">
        <f>IF(Principal!$D$25="Anual",IF(MOD(B97+1,12)=0,$W$2*((1+$W$3)^M97),0),$W$2*((1+$W$3)^M97)/12)</f>
        <v>364.34252783678613</v>
      </c>
      <c r="I97" s="68">
        <f t="shared" si="12"/>
        <v>2129.4599769051697</v>
      </c>
      <c r="J97" s="43">
        <f>SUM($I$14:I97)</f>
        <v>176140.62190250985</v>
      </c>
      <c r="K97" s="11">
        <f t="shared" si="13"/>
        <v>0</v>
      </c>
      <c r="L97" s="5">
        <f t="shared" si="14"/>
        <v>1882.2880519051696</v>
      </c>
      <c r="M97" s="10">
        <f t="shared" si="15"/>
        <v>6</v>
      </c>
      <c r="N97" s="189"/>
      <c r="O97" s="130">
        <f>IF(Principal!$D$30="Anual",IF(MOD(B97+1,12)=0,VLOOKUP(M97,'Flujos Anuales'!$B$8:$K$39,9),0),VLOOKUP(M97,'Flujos Anuales'!$B$8:$K$39,9)/12)</f>
        <v>272.24820472260654</v>
      </c>
      <c r="P97" s="120">
        <f>VLOOKUP(M97,'Flujos Anuales'!$B$8:$K$39,10)/12</f>
        <v>36.88782523338476</v>
      </c>
      <c r="Q97" s="120">
        <f t="shared" si="16"/>
        <v>2191.4240818611611</v>
      </c>
    </row>
    <row r="98" spans="2:17" x14ac:dyDescent="0.35">
      <c r="B98" s="10">
        <v>84</v>
      </c>
      <c r="C98" s="11">
        <f t="shared" si="10"/>
        <v>1517.9455240683837</v>
      </c>
      <c r="D98" s="11">
        <f t="shared" si="11"/>
        <v>1214.8723313015935</v>
      </c>
      <c r="E98" s="11">
        <f t="shared" si="17"/>
        <v>303.07319276679027</v>
      </c>
      <c r="F98" s="11">
        <f t="shared" si="18"/>
        <v>207960.75503036354</v>
      </c>
      <c r="H98" s="129">
        <f>IF(Principal!$D$25="Anual",IF(MOD(B98+1,12)=0,$W$2*((1+$W$3)^M98),0),$W$2*((1+$W$3)^M98)/12)</f>
        <v>366.84486484301777</v>
      </c>
      <c r="I98" s="68">
        <f t="shared" si="12"/>
        <v>2131.9623139114015</v>
      </c>
      <c r="J98" s="43">
        <f>SUM($I$14:I98)</f>
        <v>178272.58421642127</v>
      </c>
      <c r="K98" s="11">
        <f t="shared" si="13"/>
        <v>0</v>
      </c>
      <c r="L98" s="5">
        <f t="shared" si="14"/>
        <v>1884.7903889114014</v>
      </c>
      <c r="M98" s="10">
        <f t="shared" si="15"/>
        <v>7</v>
      </c>
      <c r="N98" s="189">
        <f>SUM(L98:L109)</f>
        <v>22617.484666936823</v>
      </c>
      <c r="O98" s="130">
        <f>IF(Principal!$D$30="Anual",IF(MOD(B98+1,12)=0,VLOOKUP(M98,'Flujos Anuales'!$B$8:$K$39,9),0),VLOOKUP(M98,'Flujos Anuales'!$B$8:$K$39,9)/12)</f>
        <v>284.68310480060103</v>
      </c>
      <c r="P98" s="120">
        <f>VLOOKUP(M98,'Flujos Anuales'!$B$8:$K$39,10)/12</f>
        <v>37.25670348571861</v>
      </c>
      <c r="Q98" s="120">
        <f t="shared" si="16"/>
        <v>2206.7301971977208</v>
      </c>
    </row>
    <row r="99" spans="2:17" x14ac:dyDescent="0.35">
      <c r="B99" s="10">
        <v>85</v>
      </c>
      <c r="C99" s="11">
        <f t="shared" si="10"/>
        <v>1517.9455240683837</v>
      </c>
      <c r="D99" s="11">
        <f t="shared" si="11"/>
        <v>1213.1044043437873</v>
      </c>
      <c r="E99" s="11">
        <f t="shared" si="17"/>
        <v>304.84111972459641</v>
      </c>
      <c r="F99" s="11">
        <f t="shared" si="18"/>
        <v>207655.91391063895</v>
      </c>
      <c r="H99" s="129">
        <f>IF(Principal!$D$25="Anual",IF(MOD(B99+1,12)=0,$W$2*((1+$W$3)^M99),0),$W$2*((1+$W$3)^M99)/12)</f>
        <v>366.84486484301777</v>
      </c>
      <c r="I99" s="68">
        <f t="shared" si="12"/>
        <v>2131.9623139114015</v>
      </c>
      <c r="J99" s="43">
        <f>SUM($I$14:I99)</f>
        <v>180404.54653033268</v>
      </c>
      <c r="K99" s="11">
        <f t="shared" si="13"/>
        <v>0</v>
      </c>
      <c r="L99" s="5">
        <f t="shared" si="14"/>
        <v>1884.7903889114014</v>
      </c>
      <c r="M99" s="10">
        <f t="shared" si="15"/>
        <v>7</v>
      </c>
      <c r="N99" s="189"/>
      <c r="O99" s="130">
        <f>IF(Principal!$D$30="Anual",IF(MOD(B99+1,12)=0,VLOOKUP(M99,'Flujos Anuales'!$B$8:$K$39,9),0),VLOOKUP(M99,'Flujos Anuales'!$B$8:$K$39,9)/12)</f>
        <v>284.68310480060103</v>
      </c>
      <c r="P99" s="120">
        <f>VLOOKUP(M99,'Flujos Anuales'!$B$8:$K$39,10)/12</f>
        <v>37.25670348571861</v>
      </c>
      <c r="Q99" s="120">
        <f t="shared" si="16"/>
        <v>2206.7301971977208</v>
      </c>
    </row>
    <row r="100" spans="2:17" x14ac:dyDescent="0.35">
      <c r="B100" s="10">
        <v>86</v>
      </c>
      <c r="C100" s="11">
        <f t="shared" si="10"/>
        <v>1517.9455240683837</v>
      </c>
      <c r="D100" s="11">
        <f t="shared" si="11"/>
        <v>1211.3261644787272</v>
      </c>
      <c r="E100" s="11">
        <f t="shared" si="17"/>
        <v>306.6193595896566</v>
      </c>
      <c r="F100" s="11">
        <f t="shared" si="18"/>
        <v>207349.2945510493</v>
      </c>
      <c r="H100" s="129">
        <f>IF(Principal!$D$25="Anual",IF(MOD(B100+1,12)=0,$W$2*((1+$W$3)^M100),0),$W$2*((1+$W$3)^M100)/12)</f>
        <v>366.84486484301777</v>
      </c>
      <c r="I100" s="68">
        <f t="shared" si="12"/>
        <v>2131.9623139114015</v>
      </c>
      <c r="J100" s="43">
        <f>SUM($I$14:I100)</f>
        <v>182536.50884424409</v>
      </c>
      <c r="K100" s="11">
        <f t="shared" si="13"/>
        <v>0</v>
      </c>
      <c r="L100" s="5">
        <f t="shared" si="14"/>
        <v>1884.7903889114014</v>
      </c>
      <c r="M100" s="10">
        <f t="shared" si="15"/>
        <v>7</v>
      </c>
      <c r="N100" s="189"/>
      <c r="O100" s="130">
        <f>IF(Principal!$D$30="Anual",IF(MOD(B100+1,12)=0,VLOOKUP(M100,'Flujos Anuales'!$B$8:$K$39,9),0),VLOOKUP(M100,'Flujos Anuales'!$B$8:$K$39,9)/12)</f>
        <v>284.68310480060103</v>
      </c>
      <c r="P100" s="120">
        <f>VLOOKUP(M100,'Flujos Anuales'!$B$8:$K$39,10)/12</f>
        <v>37.25670348571861</v>
      </c>
      <c r="Q100" s="120">
        <f t="shared" si="16"/>
        <v>2206.7301971977208</v>
      </c>
    </row>
    <row r="101" spans="2:17" x14ac:dyDescent="0.35">
      <c r="B101" s="10">
        <v>87</v>
      </c>
      <c r="C101" s="11">
        <f t="shared" si="10"/>
        <v>1517.9455240683837</v>
      </c>
      <c r="D101" s="11">
        <f t="shared" si="11"/>
        <v>1209.5375515477876</v>
      </c>
      <c r="E101" s="11">
        <f t="shared" si="17"/>
        <v>308.4079725205961</v>
      </c>
      <c r="F101" s="11">
        <f t="shared" si="18"/>
        <v>207040.88657852871</v>
      </c>
      <c r="H101" s="129">
        <f>IF(Principal!$D$25="Anual",IF(MOD(B101+1,12)=0,$W$2*((1+$W$3)^M101),0),$W$2*((1+$W$3)^M101)/12)</f>
        <v>366.84486484301777</v>
      </c>
      <c r="I101" s="68">
        <f t="shared" si="12"/>
        <v>2131.9623139114015</v>
      </c>
      <c r="J101" s="43">
        <f>SUM($I$14:I101)</f>
        <v>184668.4711581555</v>
      </c>
      <c r="K101" s="11">
        <f t="shared" si="13"/>
        <v>0</v>
      </c>
      <c r="L101" s="5">
        <f t="shared" si="14"/>
        <v>1884.7903889114014</v>
      </c>
      <c r="M101" s="10">
        <f t="shared" si="15"/>
        <v>7</v>
      </c>
      <c r="N101" s="189"/>
      <c r="O101" s="130">
        <f>IF(Principal!$D$30="Anual",IF(MOD(B101+1,12)=0,VLOOKUP(M101,'Flujos Anuales'!$B$8:$K$39,9),0),VLOOKUP(M101,'Flujos Anuales'!$B$8:$K$39,9)/12)</f>
        <v>284.68310480060103</v>
      </c>
      <c r="P101" s="120">
        <f>VLOOKUP(M101,'Flujos Anuales'!$B$8:$K$39,10)/12</f>
        <v>37.25670348571861</v>
      </c>
      <c r="Q101" s="120">
        <f t="shared" si="16"/>
        <v>2206.7301971977208</v>
      </c>
    </row>
    <row r="102" spans="2:17" x14ac:dyDescent="0.35">
      <c r="B102" s="10">
        <v>88</v>
      </c>
      <c r="C102" s="11">
        <f t="shared" si="10"/>
        <v>1517.9455240683837</v>
      </c>
      <c r="D102" s="11">
        <f t="shared" si="11"/>
        <v>1207.7385050414175</v>
      </c>
      <c r="E102" s="11">
        <f t="shared" si="17"/>
        <v>310.20701902696624</v>
      </c>
      <c r="F102" s="11">
        <f t="shared" si="18"/>
        <v>206730.67955950173</v>
      </c>
      <c r="H102" s="129">
        <f>IF(Principal!$D$25="Anual",IF(MOD(B102+1,12)=0,$W$2*((1+$W$3)^M102),0),$W$2*((1+$W$3)^M102)/12)</f>
        <v>366.84486484301777</v>
      </c>
      <c r="I102" s="68">
        <f t="shared" si="12"/>
        <v>2131.9623139114015</v>
      </c>
      <c r="J102" s="43">
        <f>SUM($I$14:I102)</f>
        <v>186800.43347206691</v>
      </c>
      <c r="K102" s="11">
        <f t="shared" si="13"/>
        <v>0</v>
      </c>
      <c r="L102" s="5">
        <f t="shared" si="14"/>
        <v>1884.7903889114014</v>
      </c>
      <c r="M102" s="10">
        <f t="shared" si="15"/>
        <v>7</v>
      </c>
      <c r="N102" s="189"/>
      <c r="O102" s="130">
        <f>IF(Principal!$D$30="Anual",IF(MOD(B102+1,12)=0,VLOOKUP(M102,'Flujos Anuales'!$B$8:$K$39,9),0),VLOOKUP(M102,'Flujos Anuales'!$B$8:$K$39,9)/12)</f>
        <v>284.68310480060103</v>
      </c>
      <c r="P102" s="120">
        <f>VLOOKUP(M102,'Flujos Anuales'!$B$8:$K$39,10)/12</f>
        <v>37.25670348571861</v>
      </c>
      <c r="Q102" s="120">
        <f t="shared" si="16"/>
        <v>2206.7301971977208</v>
      </c>
    </row>
    <row r="103" spans="2:17" x14ac:dyDescent="0.35">
      <c r="B103" s="10">
        <v>89</v>
      </c>
      <c r="C103" s="11">
        <f t="shared" si="10"/>
        <v>1517.9455240683837</v>
      </c>
      <c r="D103" s="11">
        <f t="shared" si="11"/>
        <v>1205.9289640970935</v>
      </c>
      <c r="E103" s="11">
        <f t="shared" si="17"/>
        <v>312.01655997129023</v>
      </c>
      <c r="F103" s="11">
        <f t="shared" si="18"/>
        <v>206418.66299953044</v>
      </c>
      <c r="H103" s="129">
        <f>IF(Principal!$D$25="Anual",IF(MOD(B103+1,12)=0,$W$2*((1+$W$3)^M103),0),$W$2*((1+$W$3)^M103)/12)</f>
        <v>366.84486484301777</v>
      </c>
      <c r="I103" s="68">
        <f t="shared" si="12"/>
        <v>2131.9623139114015</v>
      </c>
      <c r="J103" s="43">
        <f>SUM($I$14:I103)</f>
        <v>188932.39578597833</v>
      </c>
      <c r="K103" s="11">
        <f t="shared" si="13"/>
        <v>0</v>
      </c>
      <c r="L103" s="5">
        <f t="shared" si="14"/>
        <v>1884.7903889114014</v>
      </c>
      <c r="M103" s="10">
        <f t="shared" si="15"/>
        <v>7</v>
      </c>
      <c r="N103" s="189"/>
      <c r="O103" s="130">
        <f>IF(Principal!$D$30="Anual",IF(MOD(B103+1,12)=0,VLOOKUP(M103,'Flujos Anuales'!$B$8:$K$39,9),0),VLOOKUP(M103,'Flujos Anuales'!$B$8:$K$39,9)/12)</f>
        <v>284.68310480060103</v>
      </c>
      <c r="P103" s="120">
        <f>VLOOKUP(M103,'Flujos Anuales'!$B$8:$K$39,10)/12</f>
        <v>37.25670348571861</v>
      </c>
      <c r="Q103" s="120">
        <f t="shared" si="16"/>
        <v>2206.7301971977208</v>
      </c>
    </row>
    <row r="104" spans="2:17" x14ac:dyDescent="0.35">
      <c r="B104" s="10">
        <v>90</v>
      </c>
      <c r="C104" s="11">
        <f t="shared" si="10"/>
        <v>1517.9455240683837</v>
      </c>
      <c r="D104" s="11">
        <f t="shared" si="11"/>
        <v>1204.1088674972609</v>
      </c>
      <c r="E104" s="11">
        <f t="shared" si="17"/>
        <v>313.83665657112283</v>
      </c>
      <c r="F104" s="11">
        <f t="shared" si="18"/>
        <v>206104.82634295931</v>
      </c>
      <c r="H104" s="129">
        <f>IF(Principal!$D$25="Anual",IF(MOD(B104+1,12)=0,$W$2*((1+$W$3)^M104),0),$W$2*((1+$W$3)^M104)/12)</f>
        <v>366.84486484301777</v>
      </c>
      <c r="I104" s="68">
        <f t="shared" si="12"/>
        <v>2131.9623139114015</v>
      </c>
      <c r="J104" s="43">
        <f>SUM($I$14:I104)</f>
        <v>191064.35809988974</v>
      </c>
      <c r="K104" s="11">
        <f t="shared" si="13"/>
        <v>0</v>
      </c>
      <c r="L104" s="5">
        <f t="shared" si="14"/>
        <v>1884.7903889114014</v>
      </c>
      <c r="M104" s="10">
        <f t="shared" si="15"/>
        <v>7</v>
      </c>
      <c r="N104" s="189"/>
      <c r="O104" s="130">
        <f>IF(Principal!$D$30="Anual",IF(MOD(B104+1,12)=0,VLOOKUP(M104,'Flujos Anuales'!$B$8:$K$39,9),0),VLOOKUP(M104,'Flujos Anuales'!$B$8:$K$39,9)/12)</f>
        <v>284.68310480060103</v>
      </c>
      <c r="P104" s="120">
        <f>VLOOKUP(M104,'Flujos Anuales'!$B$8:$K$39,10)/12</f>
        <v>37.25670348571861</v>
      </c>
      <c r="Q104" s="120">
        <f t="shared" si="16"/>
        <v>2206.7301971977208</v>
      </c>
    </row>
    <row r="105" spans="2:17" x14ac:dyDescent="0.35">
      <c r="B105" s="10">
        <v>91</v>
      </c>
      <c r="C105" s="11">
        <f t="shared" si="10"/>
        <v>1517.9455240683837</v>
      </c>
      <c r="D105" s="11">
        <f t="shared" si="11"/>
        <v>1202.2781536672626</v>
      </c>
      <c r="E105" s="11">
        <f t="shared" si="17"/>
        <v>315.66737040112116</v>
      </c>
      <c r="F105" s="11">
        <f t="shared" si="18"/>
        <v>205789.15897255819</v>
      </c>
      <c r="H105" s="129">
        <f>IF(Principal!$D$25="Anual",IF(MOD(B105+1,12)=0,$W$2*((1+$W$3)^M105),0),$W$2*((1+$W$3)^M105)/12)</f>
        <v>366.84486484301777</v>
      </c>
      <c r="I105" s="68">
        <f t="shared" si="12"/>
        <v>2131.9623139114015</v>
      </c>
      <c r="J105" s="43">
        <f>SUM($I$14:I105)</f>
        <v>193196.32041380115</v>
      </c>
      <c r="K105" s="11">
        <f t="shared" si="13"/>
        <v>0</v>
      </c>
      <c r="L105" s="5">
        <f t="shared" si="14"/>
        <v>1884.7903889114014</v>
      </c>
      <c r="M105" s="10">
        <f t="shared" si="15"/>
        <v>7</v>
      </c>
      <c r="N105" s="189"/>
      <c r="O105" s="130">
        <f>IF(Principal!$D$30="Anual",IF(MOD(B105+1,12)=0,VLOOKUP(M105,'Flujos Anuales'!$B$8:$K$39,9),0),VLOOKUP(M105,'Flujos Anuales'!$B$8:$K$39,9)/12)</f>
        <v>284.68310480060103</v>
      </c>
      <c r="P105" s="120">
        <f>VLOOKUP(M105,'Flujos Anuales'!$B$8:$K$39,10)/12</f>
        <v>37.25670348571861</v>
      </c>
      <c r="Q105" s="120">
        <f t="shared" si="16"/>
        <v>2206.7301971977208</v>
      </c>
    </row>
    <row r="106" spans="2:17" x14ac:dyDescent="0.35">
      <c r="B106" s="10">
        <v>92</v>
      </c>
      <c r="C106" s="11">
        <f t="shared" si="10"/>
        <v>1517.9455240683837</v>
      </c>
      <c r="D106" s="11">
        <f t="shared" si="11"/>
        <v>1200.4367606732562</v>
      </c>
      <c r="E106" s="11">
        <f t="shared" si="17"/>
        <v>317.50876339512752</v>
      </c>
      <c r="F106" s="11">
        <f t="shared" si="18"/>
        <v>205471.65020916305</v>
      </c>
      <c r="H106" s="129">
        <f>IF(Principal!$D$25="Anual",IF(MOD(B106+1,12)=0,$W$2*((1+$W$3)^M106),0),$W$2*((1+$W$3)^M106)/12)</f>
        <v>366.84486484301777</v>
      </c>
      <c r="I106" s="68">
        <f t="shared" si="12"/>
        <v>2131.9623139114015</v>
      </c>
      <c r="J106" s="43">
        <f>SUM($I$14:I106)</f>
        <v>195328.28272771256</v>
      </c>
      <c r="K106" s="11">
        <f t="shared" si="13"/>
        <v>0</v>
      </c>
      <c r="L106" s="5">
        <f t="shared" si="14"/>
        <v>1884.7903889114014</v>
      </c>
      <c r="M106" s="10">
        <f t="shared" si="15"/>
        <v>7</v>
      </c>
      <c r="N106" s="189"/>
      <c r="O106" s="130">
        <f>IF(Principal!$D$30="Anual",IF(MOD(B106+1,12)=0,VLOOKUP(M106,'Flujos Anuales'!$B$8:$K$39,9),0),VLOOKUP(M106,'Flujos Anuales'!$B$8:$K$39,9)/12)</f>
        <v>284.68310480060103</v>
      </c>
      <c r="P106" s="120">
        <f>VLOOKUP(M106,'Flujos Anuales'!$B$8:$K$39,10)/12</f>
        <v>37.25670348571861</v>
      </c>
      <c r="Q106" s="120">
        <f t="shared" si="16"/>
        <v>2206.7301971977208</v>
      </c>
    </row>
    <row r="107" spans="2:17" x14ac:dyDescent="0.35">
      <c r="B107" s="10">
        <v>93</v>
      </c>
      <c r="C107" s="11">
        <f t="shared" si="10"/>
        <v>1517.9455240683837</v>
      </c>
      <c r="D107" s="11">
        <f t="shared" si="11"/>
        <v>1198.5846262201178</v>
      </c>
      <c r="E107" s="11">
        <f t="shared" si="17"/>
        <v>319.36089784826595</v>
      </c>
      <c r="F107" s="11">
        <f t="shared" si="18"/>
        <v>205152.28931131479</v>
      </c>
      <c r="H107" s="129">
        <f>IF(Principal!$D$25="Anual",IF(MOD(B107+1,12)=0,$W$2*((1+$W$3)^M107),0),$W$2*((1+$W$3)^M107)/12)</f>
        <v>366.84486484301777</v>
      </c>
      <c r="I107" s="68">
        <f t="shared" si="12"/>
        <v>2131.9623139114015</v>
      </c>
      <c r="J107" s="43">
        <f>SUM($I$14:I107)</f>
        <v>197460.24504162397</v>
      </c>
      <c r="K107" s="11">
        <f t="shared" si="13"/>
        <v>0</v>
      </c>
      <c r="L107" s="5">
        <f t="shared" si="14"/>
        <v>1884.7903889114014</v>
      </c>
      <c r="M107" s="10">
        <f t="shared" si="15"/>
        <v>7</v>
      </c>
      <c r="N107" s="189"/>
      <c r="O107" s="130">
        <f>IF(Principal!$D$30="Anual",IF(MOD(B107+1,12)=0,VLOOKUP(M107,'Flujos Anuales'!$B$8:$K$39,9),0),VLOOKUP(M107,'Flujos Anuales'!$B$8:$K$39,9)/12)</f>
        <v>284.68310480060103</v>
      </c>
      <c r="P107" s="120">
        <f>VLOOKUP(M107,'Flujos Anuales'!$B$8:$K$39,10)/12</f>
        <v>37.25670348571861</v>
      </c>
      <c r="Q107" s="120">
        <f t="shared" si="16"/>
        <v>2206.7301971977208</v>
      </c>
    </row>
    <row r="108" spans="2:17" x14ac:dyDescent="0.35">
      <c r="B108" s="10">
        <v>94</v>
      </c>
      <c r="C108" s="11">
        <f t="shared" si="10"/>
        <v>1517.9455240683837</v>
      </c>
      <c r="D108" s="11">
        <f t="shared" si="11"/>
        <v>1196.7216876493362</v>
      </c>
      <c r="E108" s="11">
        <f t="shared" si="17"/>
        <v>321.22383641904753</v>
      </c>
      <c r="F108" s="11">
        <f t="shared" si="18"/>
        <v>204831.06547489573</v>
      </c>
      <c r="H108" s="129">
        <f>IF(Principal!$D$25="Anual",IF(MOD(B108+1,12)=0,$W$2*((1+$W$3)^M108),0),$W$2*((1+$W$3)^M108)/12)</f>
        <v>366.84486484301777</v>
      </c>
      <c r="I108" s="68">
        <f t="shared" si="12"/>
        <v>2131.9623139114015</v>
      </c>
      <c r="J108" s="43">
        <f>SUM($I$14:I108)</f>
        <v>199592.20735553539</v>
      </c>
      <c r="K108" s="11">
        <f t="shared" si="13"/>
        <v>0</v>
      </c>
      <c r="L108" s="5">
        <f t="shared" si="14"/>
        <v>1884.7903889114014</v>
      </c>
      <c r="M108" s="10">
        <f t="shared" si="15"/>
        <v>7</v>
      </c>
      <c r="N108" s="189"/>
      <c r="O108" s="130">
        <f>IF(Principal!$D$30="Anual",IF(MOD(B108+1,12)=0,VLOOKUP(M108,'Flujos Anuales'!$B$8:$K$39,9),0),VLOOKUP(M108,'Flujos Anuales'!$B$8:$K$39,9)/12)</f>
        <v>284.68310480060103</v>
      </c>
      <c r="P108" s="120">
        <f>VLOOKUP(M108,'Flujos Anuales'!$B$8:$K$39,10)/12</f>
        <v>37.25670348571861</v>
      </c>
      <c r="Q108" s="120">
        <f t="shared" si="16"/>
        <v>2206.7301971977208</v>
      </c>
    </row>
    <row r="109" spans="2:17" x14ac:dyDescent="0.35">
      <c r="B109" s="10">
        <v>95</v>
      </c>
      <c r="C109" s="11">
        <f t="shared" si="10"/>
        <v>1517.9455240683837</v>
      </c>
      <c r="D109" s="11">
        <f t="shared" si="11"/>
        <v>1194.8478819368918</v>
      </c>
      <c r="E109" s="11">
        <f t="shared" si="17"/>
        <v>323.09764213149197</v>
      </c>
      <c r="F109" s="11">
        <f t="shared" si="18"/>
        <v>204507.96783276423</v>
      </c>
      <c r="H109" s="129">
        <f>IF(Principal!$D$25="Anual",IF(MOD(B109+1,12)=0,$W$2*((1+$W$3)^M109),0),$W$2*((1+$W$3)^M109)/12)</f>
        <v>366.84486484301777</v>
      </c>
      <c r="I109" s="68">
        <f t="shared" si="12"/>
        <v>2131.9623139114015</v>
      </c>
      <c r="J109" s="43">
        <f>SUM($I$14:I109)</f>
        <v>201724.1696694468</v>
      </c>
      <c r="K109" s="11">
        <f t="shared" si="13"/>
        <v>0</v>
      </c>
      <c r="L109" s="5">
        <f t="shared" si="14"/>
        <v>1884.7903889114014</v>
      </c>
      <c r="M109" s="10">
        <f t="shared" si="15"/>
        <v>7</v>
      </c>
      <c r="N109" s="189"/>
      <c r="O109" s="130">
        <f>IF(Principal!$D$30="Anual",IF(MOD(B109+1,12)=0,VLOOKUP(M109,'Flujos Anuales'!$B$8:$K$39,9),0),VLOOKUP(M109,'Flujos Anuales'!$B$8:$K$39,9)/12)</f>
        <v>284.68310480060103</v>
      </c>
      <c r="P109" s="120">
        <f>VLOOKUP(M109,'Flujos Anuales'!$B$8:$K$39,10)/12</f>
        <v>37.25670348571861</v>
      </c>
      <c r="Q109" s="120">
        <f t="shared" si="16"/>
        <v>2206.7301971977208</v>
      </c>
    </row>
    <row r="110" spans="2:17" x14ac:dyDescent="0.35">
      <c r="B110" s="10">
        <v>96</v>
      </c>
      <c r="C110" s="11">
        <f t="shared" si="10"/>
        <v>1517.9455240683837</v>
      </c>
      <c r="D110" s="11">
        <f t="shared" si="11"/>
        <v>1192.9631456911247</v>
      </c>
      <c r="E110" s="11">
        <f t="shared" si="17"/>
        <v>324.98237837725901</v>
      </c>
      <c r="F110" s="11">
        <f t="shared" si="18"/>
        <v>204182.98545438697</v>
      </c>
      <c r="H110" s="129">
        <f>IF(Principal!$D$25="Anual",IF(MOD(B110+1,12)=0,$W$2*((1+$W$3)^M110),0),$W$2*((1+$W$3)^M110)/12)</f>
        <v>369.36438812319312</v>
      </c>
      <c r="I110" s="68">
        <f t="shared" si="12"/>
        <v>2134.4818371915767</v>
      </c>
      <c r="J110" s="43">
        <f>SUM($I$14:I110)</f>
        <v>203858.65150663839</v>
      </c>
      <c r="K110" s="11">
        <f t="shared" si="13"/>
        <v>0</v>
      </c>
      <c r="L110" s="5">
        <f t="shared" si="14"/>
        <v>1887.3099121915766</v>
      </c>
      <c r="M110" s="10">
        <f t="shared" si="15"/>
        <v>8</v>
      </c>
      <c r="N110" s="189">
        <f>SUM(L110:L121)</f>
        <v>22647.718946298919</v>
      </c>
      <c r="O110" s="130">
        <f>IF(Principal!$D$30="Anual",IF(MOD(B110+1,12)=0,VLOOKUP(M110,'Flujos Anuales'!$B$8:$K$39,9),0),VLOOKUP(M110,'Flujos Anuales'!$B$8:$K$39,9)/12)</f>
        <v>297.68596726463699</v>
      </c>
      <c r="P110" s="120">
        <f>VLOOKUP(M110,'Flujos Anuales'!$B$8:$K$39,10)/12</f>
        <v>37.629270520575794</v>
      </c>
      <c r="Q110" s="120">
        <f t="shared" si="16"/>
        <v>2222.6251499767891</v>
      </c>
    </row>
    <row r="111" spans="2:17" x14ac:dyDescent="0.35">
      <c r="B111" s="10">
        <v>97</v>
      </c>
      <c r="C111" s="11">
        <f t="shared" si="10"/>
        <v>1517.9455240683837</v>
      </c>
      <c r="D111" s="11">
        <f t="shared" si="11"/>
        <v>1191.0674151505907</v>
      </c>
      <c r="E111" s="11">
        <f t="shared" si="17"/>
        <v>326.87810891779304</v>
      </c>
      <c r="F111" s="11">
        <f t="shared" si="18"/>
        <v>203856.10734546918</v>
      </c>
      <c r="H111" s="129">
        <f>IF(Principal!$D$25="Anual",IF(MOD(B111+1,12)=0,$W$2*((1+$W$3)^M111),0),$W$2*((1+$W$3)^M111)/12)</f>
        <v>369.36438812319312</v>
      </c>
      <c r="I111" s="68">
        <f t="shared" si="12"/>
        <v>2134.4818371915767</v>
      </c>
      <c r="J111" s="43">
        <f>SUM($I$14:I111)</f>
        <v>205993.13334382998</v>
      </c>
      <c r="K111" s="11">
        <f t="shared" si="13"/>
        <v>0</v>
      </c>
      <c r="L111" s="5">
        <f t="shared" si="14"/>
        <v>1887.3099121915766</v>
      </c>
      <c r="M111" s="10">
        <f t="shared" si="15"/>
        <v>8</v>
      </c>
      <c r="N111" s="189"/>
      <c r="O111" s="130">
        <f>IF(Principal!$D$30="Anual",IF(MOD(B111+1,12)=0,VLOOKUP(M111,'Flujos Anuales'!$B$8:$K$39,9),0),VLOOKUP(M111,'Flujos Anuales'!$B$8:$K$39,9)/12)</f>
        <v>297.68596726463699</v>
      </c>
      <c r="P111" s="120">
        <f>VLOOKUP(M111,'Flujos Anuales'!$B$8:$K$39,10)/12</f>
        <v>37.629270520575794</v>
      </c>
      <c r="Q111" s="120">
        <f t="shared" si="16"/>
        <v>2222.6251499767891</v>
      </c>
    </row>
    <row r="112" spans="2:17" x14ac:dyDescent="0.35">
      <c r="B112" s="10">
        <v>98</v>
      </c>
      <c r="C112" s="11">
        <f t="shared" si="10"/>
        <v>1517.9455240683837</v>
      </c>
      <c r="D112" s="11">
        <f t="shared" si="11"/>
        <v>1189.1606261819036</v>
      </c>
      <c r="E112" s="11">
        <f t="shared" si="17"/>
        <v>328.78489788648017</v>
      </c>
      <c r="F112" s="11">
        <f t="shared" si="18"/>
        <v>203527.3224475827</v>
      </c>
      <c r="H112" s="129">
        <f>IF(Principal!$D$25="Anual",IF(MOD(B112+1,12)=0,$W$2*((1+$W$3)^M112),0),$W$2*((1+$W$3)^M112)/12)</f>
        <v>369.36438812319312</v>
      </c>
      <c r="I112" s="68">
        <f t="shared" si="12"/>
        <v>2134.4818371915767</v>
      </c>
      <c r="J112" s="43">
        <f>SUM($I$14:I112)</f>
        <v>208127.61518102157</v>
      </c>
      <c r="K112" s="11">
        <f t="shared" si="13"/>
        <v>0</v>
      </c>
      <c r="L112" s="5">
        <f t="shared" si="14"/>
        <v>1887.3099121915766</v>
      </c>
      <c r="M112" s="10">
        <f t="shared" si="15"/>
        <v>8</v>
      </c>
      <c r="N112" s="189"/>
      <c r="O112" s="130">
        <f>IF(Principal!$D$30="Anual",IF(MOD(B112+1,12)=0,VLOOKUP(M112,'Flujos Anuales'!$B$8:$K$39,9),0),VLOOKUP(M112,'Flujos Anuales'!$B$8:$K$39,9)/12)</f>
        <v>297.68596726463699</v>
      </c>
      <c r="P112" s="120">
        <f>VLOOKUP(M112,'Flujos Anuales'!$B$8:$K$39,10)/12</f>
        <v>37.629270520575794</v>
      </c>
      <c r="Q112" s="120">
        <f t="shared" si="16"/>
        <v>2222.6251499767891</v>
      </c>
    </row>
    <row r="113" spans="2:17" x14ac:dyDescent="0.35">
      <c r="B113" s="10">
        <v>99</v>
      </c>
      <c r="C113" s="11">
        <f t="shared" si="10"/>
        <v>1517.9455240683837</v>
      </c>
      <c r="D113" s="11">
        <f t="shared" si="11"/>
        <v>1187.2427142775657</v>
      </c>
      <c r="E113" s="11">
        <f t="shared" si="17"/>
        <v>330.70280979081804</v>
      </c>
      <c r="F113" s="11">
        <f t="shared" si="18"/>
        <v>203196.61963779188</v>
      </c>
      <c r="H113" s="129">
        <f>IF(Principal!$D$25="Anual",IF(MOD(B113+1,12)=0,$W$2*((1+$W$3)^M113),0),$W$2*((1+$W$3)^M113)/12)</f>
        <v>369.36438812319312</v>
      </c>
      <c r="I113" s="68">
        <f t="shared" si="12"/>
        <v>2134.4818371915767</v>
      </c>
      <c r="J113" s="43">
        <f>SUM($I$14:I113)</f>
        <v>210262.09701821316</v>
      </c>
      <c r="K113" s="11">
        <f t="shared" si="13"/>
        <v>0</v>
      </c>
      <c r="L113" s="5">
        <f t="shared" si="14"/>
        <v>1887.3099121915766</v>
      </c>
      <c r="M113" s="10">
        <f t="shared" si="15"/>
        <v>8</v>
      </c>
      <c r="N113" s="189"/>
      <c r="O113" s="130">
        <f>IF(Principal!$D$30="Anual",IF(MOD(B113+1,12)=0,VLOOKUP(M113,'Flujos Anuales'!$B$8:$K$39,9),0),VLOOKUP(M113,'Flujos Anuales'!$B$8:$K$39,9)/12)</f>
        <v>297.68596726463699</v>
      </c>
      <c r="P113" s="120">
        <f>VLOOKUP(M113,'Flujos Anuales'!$B$8:$K$39,10)/12</f>
        <v>37.629270520575794</v>
      </c>
      <c r="Q113" s="120">
        <f t="shared" si="16"/>
        <v>2222.6251499767891</v>
      </c>
    </row>
    <row r="114" spans="2:17" x14ac:dyDescent="0.35">
      <c r="B114" s="10">
        <v>100</v>
      </c>
      <c r="C114" s="11">
        <f t="shared" si="10"/>
        <v>1517.9455240683837</v>
      </c>
      <c r="D114" s="11">
        <f t="shared" si="11"/>
        <v>1185.313614553786</v>
      </c>
      <c r="E114" s="11">
        <f t="shared" si="17"/>
        <v>332.63190951459774</v>
      </c>
      <c r="F114" s="11">
        <f t="shared" si="18"/>
        <v>202863.98772827728</v>
      </c>
      <c r="H114" s="129">
        <f>IF(Principal!$D$25="Anual",IF(MOD(B114+1,12)=0,$W$2*((1+$W$3)^M114),0),$W$2*((1+$W$3)^M114)/12)</f>
        <v>369.36438812319312</v>
      </c>
      <c r="I114" s="68">
        <f t="shared" si="12"/>
        <v>2134.4818371915767</v>
      </c>
      <c r="J114" s="43">
        <f>SUM($I$14:I114)</f>
        <v>212396.57885540475</v>
      </c>
      <c r="K114" s="11">
        <f t="shared" si="13"/>
        <v>0</v>
      </c>
      <c r="L114" s="5">
        <f t="shared" si="14"/>
        <v>1887.3099121915766</v>
      </c>
      <c r="M114" s="10">
        <f t="shared" si="15"/>
        <v>8</v>
      </c>
      <c r="N114" s="189"/>
      <c r="O114" s="130">
        <f>IF(Principal!$D$30="Anual",IF(MOD(B114+1,12)=0,VLOOKUP(M114,'Flujos Anuales'!$B$8:$K$39,9),0),VLOOKUP(M114,'Flujos Anuales'!$B$8:$K$39,9)/12)</f>
        <v>297.68596726463699</v>
      </c>
      <c r="P114" s="120">
        <f>VLOOKUP(M114,'Flujos Anuales'!$B$8:$K$39,10)/12</f>
        <v>37.629270520575794</v>
      </c>
      <c r="Q114" s="120">
        <f t="shared" si="16"/>
        <v>2222.6251499767891</v>
      </c>
    </row>
    <row r="115" spans="2:17" x14ac:dyDescent="0.35">
      <c r="B115" s="10">
        <v>101</v>
      </c>
      <c r="C115" s="11">
        <f t="shared" si="10"/>
        <v>1517.9455240683837</v>
      </c>
      <c r="D115" s="11">
        <f t="shared" si="11"/>
        <v>1183.3732617482842</v>
      </c>
      <c r="E115" s="11">
        <f t="shared" si="17"/>
        <v>334.57226232009953</v>
      </c>
      <c r="F115" s="11">
        <f t="shared" si="18"/>
        <v>202529.41546595719</v>
      </c>
      <c r="H115" s="129">
        <f>IF(Principal!$D$25="Anual",IF(MOD(B115+1,12)=0,$W$2*((1+$W$3)^M115),0),$W$2*((1+$W$3)^M115)/12)</f>
        <v>369.36438812319312</v>
      </c>
      <c r="I115" s="68">
        <f t="shared" si="12"/>
        <v>2134.4818371915767</v>
      </c>
      <c r="J115" s="43">
        <f>SUM($I$14:I115)</f>
        <v>214531.06069259634</v>
      </c>
      <c r="K115" s="11">
        <f t="shared" si="13"/>
        <v>0</v>
      </c>
      <c r="L115" s="5">
        <f t="shared" si="14"/>
        <v>1887.3099121915766</v>
      </c>
      <c r="M115" s="10">
        <f t="shared" si="15"/>
        <v>8</v>
      </c>
      <c r="N115" s="189"/>
      <c r="O115" s="130">
        <f>IF(Principal!$D$30="Anual",IF(MOD(B115+1,12)=0,VLOOKUP(M115,'Flujos Anuales'!$B$8:$K$39,9),0),VLOOKUP(M115,'Flujos Anuales'!$B$8:$K$39,9)/12)</f>
        <v>297.68596726463699</v>
      </c>
      <c r="P115" s="120">
        <f>VLOOKUP(M115,'Flujos Anuales'!$B$8:$K$39,10)/12</f>
        <v>37.629270520575794</v>
      </c>
      <c r="Q115" s="120">
        <f t="shared" si="16"/>
        <v>2222.6251499767891</v>
      </c>
    </row>
    <row r="116" spans="2:17" x14ac:dyDescent="0.35">
      <c r="B116" s="10">
        <v>102</v>
      </c>
      <c r="C116" s="11">
        <f t="shared" si="10"/>
        <v>1517.9455240683837</v>
      </c>
      <c r="D116" s="11">
        <f t="shared" si="11"/>
        <v>1181.4215902180838</v>
      </c>
      <c r="E116" s="11">
        <f t="shared" si="17"/>
        <v>336.52393385029995</v>
      </c>
      <c r="F116" s="11">
        <f t="shared" si="18"/>
        <v>202192.89153210691</v>
      </c>
      <c r="H116" s="129">
        <f>IF(Principal!$D$25="Anual",IF(MOD(B116+1,12)=0,$W$2*((1+$W$3)^M116),0),$W$2*((1+$W$3)^M116)/12)</f>
        <v>369.36438812319312</v>
      </c>
      <c r="I116" s="68">
        <f t="shared" si="12"/>
        <v>2134.4818371915767</v>
      </c>
      <c r="J116" s="43">
        <f>SUM($I$14:I116)</f>
        <v>216665.54252978793</v>
      </c>
      <c r="K116" s="11">
        <f t="shared" si="13"/>
        <v>0</v>
      </c>
      <c r="L116" s="5">
        <f t="shared" si="14"/>
        <v>1887.3099121915766</v>
      </c>
      <c r="M116" s="10">
        <f t="shared" si="15"/>
        <v>8</v>
      </c>
      <c r="N116" s="189"/>
      <c r="O116" s="130">
        <f>IF(Principal!$D$30="Anual",IF(MOD(B116+1,12)=0,VLOOKUP(M116,'Flujos Anuales'!$B$8:$K$39,9),0),VLOOKUP(M116,'Flujos Anuales'!$B$8:$K$39,9)/12)</f>
        <v>297.68596726463699</v>
      </c>
      <c r="P116" s="120">
        <f>VLOOKUP(M116,'Flujos Anuales'!$B$8:$K$39,10)/12</f>
        <v>37.629270520575794</v>
      </c>
      <c r="Q116" s="120">
        <f t="shared" si="16"/>
        <v>2222.6251499767891</v>
      </c>
    </row>
    <row r="117" spans="2:17" x14ac:dyDescent="0.35">
      <c r="B117" s="10">
        <v>103</v>
      </c>
      <c r="C117" s="11">
        <f t="shared" si="10"/>
        <v>1517.9455240683837</v>
      </c>
      <c r="D117" s="11">
        <f t="shared" si="11"/>
        <v>1179.4585339372904</v>
      </c>
      <c r="E117" s="11">
        <f t="shared" si="17"/>
        <v>338.48699013109331</v>
      </c>
      <c r="F117" s="11">
        <f t="shared" si="18"/>
        <v>201854.40454197582</v>
      </c>
      <c r="H117" s="129">
        <f>IF(Principal!$D$25="Anual",IF(MOD(B117+1,12)=0,$W$2*((1+$W$3)^M117),0),$W$2*((1+$W$3)^M117)/12)</f>
        <v>369.36438812319312</v>
      </c>
      <c r="I117" s="68">
        <f t="shared" si="12"/>
        <v>2134.4818371915767</v>
      </c>
      <c r="J117" s="43">
        <f>SUM($I$14:I117)</f>
        <v>218800.02436697952</v>
      </c>
      <c r="K117" s="11">
        <f t="shared" si="13"/>
        <v>0</v>
      </c>
      <c r="L117" s="5">
        <f t="shared" si="14"/>
        <v>1887.3099121915766</v>
      </c>
      <c r="M117" s="10">
        <f t="shared" si="15"/>
        <v>8</v>
      </c>
      <c r="N117" s="189"/>
      <c r="O117" s="130">
        <f>IF(Principal!$D$30="Anual",IF(MOD(B117+1,12)=0,VLOOKUP(M117,'Flujos Anuales'!$B$8:$K$39,9),0),VLOOKUP(M117,'Flujos Anuales'!$B$8:$K$39,9)/12)</f>
        <v>297.68596726463699</v>
      </c>
      <c r="P117" s="120">
        <f>VLOOKUP(M117,'Flujos Anuales'!$B$8:$K$39,10)/12</f>
        <v>37.629270520575794</v>
      </c>
      <c r="Q117" s="120">
        <f t="shared" si="16"/>
        <v>2222.6251499767891</v>
      </c>
    </row>
    <row r="118" spans="2:17" x14ac:dyDescent="0.35">
      <c r="B118" s="10">
        <v>104</v>
      </c>
      <c r="C118" s="11">
        <f t="shared" si="10"/>
        <v>1517.9455240683837</v>
      </c>
      <c r="D118" s="11">
        <f t="shared" si="11"/>
        <v>1177.4840264948591</v>
      </c>
      <c r="E118" s="11">
        <f t="shared" si="17"/>
        <v>340.46149757352464</v>
      </c>
      <c r="F118" s="11">
        <f t="shared" si="18"/>
        <v>201513.94304440229</v>
      </c>
      <c r="H118" s="129">
        <f>IF(Principal!$D$25="Anual",IF(MOD(B118+1,12)=0,$W$2*((1+$W$3)^M118),0),$W$2*((1+$W$3)^M118)/12)</f>
        <v>369.36438812319312</v>
      </c>
      <c r="I118" s="68">
        <f t="shared" si="12"/>
        <v>2134.4818371915767</v>
      </c>
      <c r="J118" s="43">
        <f>SUM($I$14:I118)</f>
        <v>220934.50620417111</v>
      </c>
      <c r="K118" s="11">
        <f t="shared" si="13"/>
        <v>0</v>
      </c>
      <c r="L118" s="5">
        <f t="shared" si="14"/>
        <v>1887.3099121915766</v>
      </c>
      <c r="M118" s="10">
        <f t="shared" si="15"/>
        <v>8</v>
      </c>
      <c r="N118" s="189"/>
      <c r="O118" s="130">
        <f>IF(Principal!$D$30="Anual",IF(MOD(B118+1,12)=0,VLOOKUP(M118,'Flujos Anuales'!$B$8:$K$39,9),0),VLOOKUP(M118,'Flujos Anuales'!$B$8:$K$39,9)/12)</f>
        <v>297.68596726463699</v>
      </c>
      <c r="P118" s="120">
        <f>VLOOKUP(M118,'Flujos Anuales'!$B$8:$K$39,10)/12</f>
        <v>37.629270520575794</v>
      </c>
      <c r="Q118" s="120">
        <f t="shared" si="16"/>
        <v>2222.6251499767891</v>
      </c>
    </row>
    <row r="119" spans="2:17" x14ac:dyDescent="0.35">
      <c r="B119" s="10">
        <v>105</v>
      </c>
      <c r="C119" s="11">
        <f t="shared" si="10"/>
        <v>1517.9455240683837</v>
      </c>
      <c r="D119" s="11">
        <f t="shared" si="11"/>
        <v>1175.4980010923468</v>
      </c>
      <c r="E119" s="11">
        <f t="shared" si="17"/>
        <v>342.44752297603691</v>
      </c>
      <c r="F119" s="11">
        <f t="shared" si="18"/>
        <v>201171.49552142626</v>
      </c>
      <c r="H119" s="129">
        <f>IF(Principal!$D$25="Anual",IF(MOD(B119+1,12)=0,$W$2*((1+$W$3)^M119),0),$W$2*((1+$W$3)^M119)/12)</f>
        <v>369.36438812319312</v>
      </c>
      <c r="I119" s="68">
        <f t="shared" si="12"/>
        <v>2134.4818371915767</v>
      </c>
      <c r="J119" s="43">
        <f>SUM($I$14:I119)</f>
        <v>223068.9880413627</v>
      </c>
      <c r="K119" s="11">
        <f t="shared" si="13"/>
        <v>0</v>
      </c>
      <c r="L119" s="5">
        <f t="shared" si="14"/>
        <v>1887.3099121915766</v>
      </c>
      <c r="M119" s="10">
        <f t="shared" si="15"/>
        <v>8</v>
      </c>
      <c r="N119" s="189"/>
      <c r="O119" s="130">
        <f>IF(Principal!$D$30="Anual",IF(MOD(B119+1,12)=0,VLOOKUP(M119,'Flujos Anuales'!$B$8:$K$39,9),0),VLOOKUP(M119,'Flujos Anuales'!$B$8:$K$39,9)/12)</f>
        <v>297.68596726463699</v>
      </c>
      <c r="P119" s="120">
        <f>VLOOKUP(M119,'Flujos Anuales'!$B$8:$K$39,10)/12</f>
        <v>37.629270520575794</v>
      </c>
      <c r="Q119" s="120">
        <f t="shared" si="16"/>
        <v>2222.6251499767891</v>
      </c>
    </row>
    <row r="120" spans="2:17" x14ac:dyDescent="0.35">
      <c r="B120" s="10">
        <v>106</v>
      </c>
      <c r="C120" s="11">
        <f t="shared" si="10"/>
        <v>1517.9455240683837</v>
      </c>
      <c r="D120" s="11">
        <f t="shared" si="11"/>
        <v>1173.5003905416531</v>
      </c>
      <c r="E120" s="11">
        <f t="shared" si="17"/>
        <v>344.44513352673061</v>
      </c>
      <c r="F120" s="11">
        <f t="shared" si="18"/>
        <v>200827.05038789954</v>
      </c>
      <c r="H120" s="129">
        <f>IF(Principal!$D$25="Anual",IF(MOD(B120+1,12)=0,$W$2*((1+$W$3)^M120),0),$W$2*((1+$W$3)^M120)/12)</f>
        <v>369.36438812319312</v>
      </c>
      <c r="I120" s="68">
        <f t="shared" si="12"/>
        <v>2134.4818371915767</v>
      </c>
      <c r="J120" s="43">
        <f>SUM($I$14:I120)</f>
        <v>225203.46987855429</v>
      </c>
      <c r="K120" s="11">
        <f t="shared" si="13"/>
        <v>0</v>
      </c>
      <c r="L120" s="5">
        <f t="shared" si="14"/>
        <v>1887.3099121915766</v>
      </c>
      <c r="M120" s="10">
        <f t="shared" si="15"/>
        <v>8</v>
      </c>
      <c r="N120" s="189"/>
      <c r="O120" s="130">
        <f>IF(Principal!$D$30="Anual",IF(MOD(B120+1,12)=0,VLOOKUP(M120,'Flujos Anuales'!$B$8:$K$39,9),0),VLOOKUP(M120,'Flujos Anuales'!$B$8:$K$39,9)/12)</f>
        <v>297.68596726463699</v>
      </c>
      <c r="P120" s="120">
        <f>VLOOKUP(M120,'Flujos Anuales'!$B$8:$K$39,10)/12</f>
        <v>37.629270520575794</v>
      </c>
      <c r="Q120" s="120">
        <f t="shared" si="16"/>
        <v>2222.6251499767891</v>
      </c>
    </row>
    <row r="121" spans="2:17" x14ac:dyDescent="0.35">
      <c r="B121" s="10">
        <v>107</v>
      </c>
      <c r="C121" s="11">
        <f t="shared" si="10"/>
        <v>1517.9455240683837</v>
      </c>
      <c r="D121" s="11">
        <f t="shared" si="11"/>
        <v>1171.4911272627473</v>
      </c>
      <c r="E121" s="11">
        <f t="shared" si="17"/>
        <v>346.45439680563641</v>
      </c>
      <c r="F121" s="11">
        <f t="shared" si="18"/>
        <v>200480.5959910939</v>
      </c>
      <c r="H121" s="129">
        <f>IF(Principal!$D$25="Anual",IF(MOD(B121+1,12)=0,$W$2*((1+$W$3)^M121),0),$W$2*((1+$W$3)^M121)/12)</f>
        <v>369.36438812319312</v>
      </c>
      <c r="I121" s="68">
        <f t="shared" si="12"/>
        <v>2134.4818371915767</v>
      </c>
      <c r="J121" s="43">
        <f>SUM($I$14:I121)</f>
        <v>227337.95171574588</v>
      </c>
      <c r="K121" s="11">
        <f t="shared" si="13"/>
        <v>0</v>
      </c>
      <c r="L121" s="5">
        <f t="shared" si="14"/>
        <v>1887.3099121915766</v>
      </c>
      <c r="M121" s="10">
        <f t="shared" si="15"/>
        <v>8</v>
      </c>
      <c r="N121" s="189"/>
      <c r="O121" s="130">
        <f>IF(Principal!$D$30="Anual",IF(MOD(B121+1,12)=0,VLOOKUP(M121,'Flujos Anuales'!$B$8:$K$39,9),0),VLOOKUP(M121,'Flujos Anuales'!$B$8:$K$39,9)/12)</f>
        <v>297.68596726463699</v>
      </c>
      <c r="P121" s="120">
        <f>VLOOKUP(M121,'Flujos Anuales'!$B$8:$K$39,10)/12</f>
        <v>37.629270520575794</v>
      </c>
      <c r="Q121" s="120">
        <f t="shared" si="16"/>
        <v>2222.6251499767891</v>
      </c>
    </row>
    <row r="122" spans="2:17" x14ac:dyDescent="0.35">
      <c r="B122" s="10">
        <v>108</v>
      </c>
      <c r="C122" s="11">
        <f t="shared" si="10"/>
        <v>1517.9455240683837</v>
      </c>
      <c r="D122" s="11">
        <f t="shared" si="11"/>
        <v>1169.4701432813811</v>
      </c>
      <c r="E122" s="11">
        <f t="shared" si="17"/>
        <v>348.47538078700268</v>
      </c>
      <c r="F122" s="11">
        <f t="shared" si="18"/>
        <v>200132.12061030688</v>
      </c>
      <c r="H122" s="129">
        <f>IF(Principal!$D$25="Anual",IF(MOD(B122+1,12)=0,$W$2*((1+$W$3)^M122),0),$W$2*((1+$W$3)^M122)/12)</f>
        <v>371.90121571417598</v>
      </c>
      <c r="I122" s="68">
        <f t="shared" si="12"/>
        <v>2137.0186647825599</v>
      </c>
      <c r="J122" s="43">
        <f>SUM($I$14:I122)</f>
        <v>229474.97038052842</v>
      </c>
      <c r="K122" s="11">
        <f t="shared" si="13"/>
        <v>0</v>
      </c>
      <c r="L122" s="5">
        <f t="shared" si="14"/>
        <v>1889.8467397825598</v>
      </c>
      <c r="M122" s="10">
        <f t="shared" si="15"/>
        <v>9</v>
      </c>
      <c r="N122" s="189">
        <f>SUM(L122:L133)</f>
        <v>22678.16087739071</v>
      </c>
      <c r="O122" s="130">
        <f>IF(Principal!$D$30="Anual",IF(MOD(B122+1,12)=0,VLOOKUP(M122,'Flujos Anuales'!$B$8:$K$39,9),0),VLOOKUP(M122,'Flujos Anuales'!$B$8:$K$39,9)/12)</f>
        <v>311.28273372019015</v>
      </c>
      <c r="P122" s="120">
        <f>VLOOKUP(M122,'Flujos Anuales'!$B$8:$K$39,10)/12</f>
        <v>38.00556322578155</v>
      </c>
      <c r="Q122" s="120">
        <f t="shared" si="16"/>
        <v>2239.1350367285318</v>
      </c>
    </row>
    <row r="123" spans="2:17" x14ac:dyDescent="0.35">
      <c r="B123" s="10">
        <v>109</v>
      </c>
      <c r="C123" s="11">
        <f t="shared" si="10"/>
        <v>1517.9455240683837</v>
      </c>
      <c r="D123" s="11">
        <f t="shared" si="11"/>
        <v>1167.4373702267901</v>
      </c>
      <c r="E123" s="11">
        <f t="shared" si="17"/>
        <v>350.50815384159364</v>
      </c>
      <c r="F123" s="11">
        <f t="shared" si="18"/>
        <v>199781.61245646529</v>
      </c>
      <c r="H123" s="129">
        <f>IF(Principal!$D$25="Anual",IF(MOD(B123+1,12)=0,$W$2*((1+$W$3)^M123),0),$W$2*((1+$W$3)^M123)/12)</f>
        <v>371.90121571417598</v>
      </c>
      <c r="I123" s="68">
        <f t="shared" si="12"/>
        <v>2137.0186647825599</v>
      </c>
      <c r="J123" s="43">
        <f>SUM($I$14:I123)</f>
        <v>231611.98904531097</v>
      </c>
      <c r="K123" s="11">
        <f t="shared" si="13"/>
        <v>0</v>
      </c>
      <c r="L123" s="5">
        <f t="shared" si="14"/>
        <v>1889.8467397825598</v>
      </c>
      <c r="M123" s="10">
        <f t="shared" si="15"/>
        <v>9</v>
      </c>
      <c r="N123" s="189"/>
      <c r="O123" s="130">
        <f>IF(Principal!$D$30="Anual",IF(MOD(B123+1,12)=0,VLOOKUP(M123,'Flujos Anuales'!$B$8:$K$39,9),0),VLOOKUP(M123,'Flujos Anuales'!$B$8:$K$39,9)/12)</f>
        <v>311.28273372019015</v>
      </c>
      <c r="P123" s="120">
        <f>VLOOKUP(M123,'Flujos Anuales'!$B$8:$K$39,10)/12</f>
        <v>38.00556322578155</v>
      </c>
      <c r="Q123" s="120">
        <f t="shared" si="16"/>
        <v>2239.1350367285318</v>
      </c>
    </row>
    <row r="124" spans="2:17" x14ac:dyDescent="0.35">
      <c r="B124" s="10">
        <v>110</v>
      </c>
      <c r="C124" s="11">
        <f t="shared" si="10"/>
        <v>1517.9455240683837</v>
      </c>
      <c r="D124" s="11">
        <f t="shared" si="11"/>
        <v>1165.3927393293809</v>
      </c>
      <c r="E124" s="11">
        <f t="shared" si="17"/>
        <v>352.55278473900285</v>
      </c>
      <c r="F124" s="11">
        <f t="shared" si="18"/>
        <v>199429.05967172628</v>
      </c>
      <c r="H124" s="129">
        <f>IF(Principal!$D$25="Anual",IF(MOD(B124+1,12)=0,$W$2*((1+$W$3)^M124),0),$W$2*((1+$W$3)^M124)/12)</f>
        <v>371.90121571417598</v>
      </c>
      <c r="I124" s="68">
        <f t="shared" si="12"/>
        <v>2137.0186647825599</v>
      </c>
      <c r="J124" s="43">
        <f>SUM($I$14:I124)</f>
        <v>233749.00771009352</v>
      </c>
      <c r="K124" s="11">
        <f t="shared" si="13"/>
        <v>0</v>
      </c>
      <c r="L124" s="5">
        <f t="shared" si="14"/>
        <v>1889.8467397825598</v>
      </c>
      <c r="M124" s="10">
        <f t="shared" si="15"/>
        <v>9</v>
      </c>
      <c r="N124" s="189"/>
      <c r="O124" s="130">
        <f>IF(Principal!$D$30="Anual",IF(MOD(B124+1,12)=0,VLOOKUP(M124,'Flujos Anuales'!$B$8:$K$39,9),0),VLOOKUP(M124,'Flujos Anuales'!$B$8:$K$39,9)/12)</f>
        <v>311.28273372019015</v>
      </c>
      <c r="P124" s="120">
        <f>VLOOKUP(M124,'Flujos Anuales'!$B$8:$K$39,10)/12</f>
        <v>38.00556322578155</v>
      </c>
      <c r="Q124" s="120">
        <f t="shared" si="16"/>
        <v>2239.1350367285318</v>
      </c>
    </row>
    <row r="125" spans="2:17" x14ac:dyDescent="0.35">
      <c r="B125" s="10">
        <v>111</v>
      </c>
      <c r="C125" s="11">
        <f t="shared" si="10"/>
        <v>1517.9455240683837</v>
      </c>
      <c r="D125" s="11">
        <f t="shared" si="11"/>
        <v>1163.3361814184034</v>
      </c>
      <c r="E125" s="11">
        <f t="shared" si="17"/>
        <v>354.60934264998036</v>
      </c>
      <c r="F125" s="11">
        <f t="shared" si="18"/>
        <v>199074.4503290763</v>
      </c>
      <c r="H125" s="129">
        <f>IF(Principal!$D$25="Anual",IF(MOD(B125+1,12)=0,$W$2*((1+$W$3)^M125),0),$W$2*((1+$W$3)^M125)/12)</f>
        <v>371.90121571417598</v>
      </c>
      <c r="I125" s="68">
        <f t="shared" si="12"/>
        <v>2137.0186647825599</v>
      </c>
      <c r="J125" s="43">
        <f>SUM($I$14:I125)</f>
        <v>235886.02637487606</v>
      </c>
      <c r="K125" s="11">
        <f t="shared" si="13"/>
        <v>0</v>
      </c>
      <c r="L125" s="5">
        <f t="shared" si="14"/>
        <v>1889.8467397825598</v>
      </c>
      <c r="M125" s="10">
        <f t="shared" si="15"/>
        <v>9</v>
      </c>
      <c r="N125" s="189"/>
      <c r="O125" s="130">
        <f>IF(Principal!$D$30="Anual",IF(MOD(B125+1,12)=0,VLOOKUP(M125,'Flujos Anuales'!$B$8:$K$39,9),0),VLOOKUP(M125,'Flujos Anuales'!$B$8:$K$39,9)/12)</f>
        <v>311.28273372019015</v>
      </c>
      <c r="P125" s="120">
        <f>VLOOKUP(M125,'Flujos Anuales'!$B$8:$K$39,10)/12</f>
        <v>38.00556322578155</v>
      </c>
      <c r="Q125" s="120">
        <f t="shared" si="16"/>
        <v>2239.1350367285318</v>
      </c>
    </row>
    <row r="126" spans="2:17" x14ac:dyDescent="0.35">
      <c r="B126" s="10">
        <v>112</v>
      </c>
      <c r="C126" s="11">
        <f t="shared" si="10"/>
        <v>1517.9455240683837</v>
      </c>
      <c r="D126" s="11">
        <f t="shared" si="11"/>
        <v>1161.2676269196118</v>
      </c>
      <c r="E126" s="11">
        <f t="shared" si="17"/>
        <v>356.67789714877199</v>
      </c>
      <c r="F126" s="11">
        <f t="shared" si="18"/>
        <v>198717.77243192753</v>
      </c>
      <c r="H126" s="129">
        <f>IF(Principal!$D$25="Anual",IF(MOD(B126+1,12)=0,$W$2*((1+$W$3)^M126),0),$W$2*((1+$W$3)^M126)/12)</f>
        <v>371.90121571417598</v>
      </c>
      <c r="I126" s="68">
        <f t="shared" si="12"/>
        <v>2137.0186647825599</v>
      </c>
      <c r="J126" s="43">
        <f>SUM($I$14:I126)</f>
        <v>238023.04503965861</v>
      </c>
      <c r="K126" s="11">
        <f t="shared" si="13"/>
        <v>0</v>
      </c>
      <c r="L126" s="5">
        <f t="shared" si="14"/>
        <v>1889.8467397825598</v>
      </c>
      <c r="M126" s="10">
        <f t="shared" si="15"/>
        <v>9</v>
      </c>
      <c r="N126" s="189"/>
      <c r="O126" s="130">
        <f>IF(Principal!$D$30="Anual",IF(MOD(B126+1,12)=0,VLOOKUP(M126,'Flujos Anuales'!$B$8:$K$39,9),0),VLOOKUP(M126,'Flujos Anuales'!$B$8:$K$39,9)/12)</f>
        <v>311.28273372019015</v>
      </c>
      <c r="P126" s="120">
        <f>VLOOKUP(M126,'Flujos Anuales'!$B$8:$K$39,10)/12</f>
        <v>38.00556322578155</v>
      </c>
      <c r="Q126" s="120">
        <f t="shared" si="16"/>
        <v>2239.1350367285318</v>
      </c>
    </row>
    <row r="127" spans="2:17" x14ac:dyDescent="0.35">
      <c r="B127" s="10">
        <v>113</v>
      </c>
      <c r="C127" s="11">
        <f t="shared" si="10"/>
        <v>1517.9455240683837</v>
      </c>
      <c r="D127" s="11">
        <f t="shared" si="11"/>
        <v>1159.1870058529107</v>
      </c>
      <c r="E127" s="11">
        <f t="shared" si="17"/>
        <v>358.75851821547303</v>
      </c>
      <c r="F127" s="11">
        <f t="shared" si="18"/>
        <v>198359.01391371206</v>
      </c>
      <c r="H127" s="129">
        <f>IF(Principal!$D$25="Anual",IF(MOD(B127+1,12)=0,$W$2*((1+$W$3)^M127),0),$W$2*((1+$W$3)^M127)/12)</f>
        <v>371.90121571417598</v>
      </c>
      <c r="I127" s="68">
        <f t="shared" si="12"/>
        <v>2137.0186647825599</v>
      </c>
      <c r="J127" s="43">
        <f>SUM($I$14:I127)</f>
        <v>240160.06370444116</v>
      </c>
      <c r="K127" s="11">
        <f t="shared" si="13"/>
        <v>0</v>
      </c>
      <c r="L127" s="5">
        <f t="shared" si="14"/>
        <v>1889.8467397825598</v>
      </c>
      <c r="M127" s="10">
        <f t="shared" si="15"/>
        <v>9</v>
      </c>
      <c r="N127" s="189"/>
      <c r="O127" s="130">
        <f>IF(Principal!$D$30="Anual",IF(MOD(B127+1,12)=0,VLOOKUP(M127,'Flujos Anuales'!$B$8:$K$39,9),0),VLOOKUP(M127,'Flujos Anuales'!$B$8:$K$39,9)/12)</f>
        <v>311.28273372019015</v>
      </c>
      <c r="P127" s="120">
        <f>VLOOKUP(M127,'Flujos Anuales'!$B$8:$K$39,10)/12</f>
        <v>38.00556322578155</v>
      </c>
      <c r="Q127" s="120">
        <f t="shared" si="16"/>
        <v>2239.1350367285318</v>
      </c>
    </row>
    <row r="128" spans="2:17" x14ac:dyDescent="0.35">
      <c r="B128" s="10">
        <v>114</v>
      </c>
      <c r="C128" s="11">
        <f t="shared" si="10"/>
        <v>1517.9455240683837</v>
      </c>
      <c r="D128" s="11">
        <f t="shared" si="11"/>
        <v>1157.0942478299871</v>
      </c>
      <c r="E128" s="11">
        <f t="shared" si="17"/>
        <v>360.85127623839662</v>
      </c>
      <c r="F128" s="11">
        <f t="shared" si="18"/>
        <v>197998.16263747367</v>
      </c>
      <c r="H128" s="129">
        <f>IF(Principal!$D$25="Anual",IF(MOD(B128+1,12)=0,$W$2*((1+$W$3)^M128),0),$W$2*((1+$W$3)^M128)/12)</f>
        <v>371.90121571417598</v>
      </c>
      <c r="I128" s="68">
        <f t="shared" si="12"/>
        <v>2137.0186647825599</v>
      </c>
      <c r="J128" s="43">
        <f>SUM($I$14:I128)</f>
        <v>242297.0823692237</v>
      </c>
      <c r="K128" s="11">
        <f t="shared" si="13"/>
        <v>0</v>
      </c>
      <c r="L128" s="5">
        <f t="shared" si="14"/>
        <v>1889.8467397825598</v>
      </c>
      <c r="M128" s="10">
        <f t="shared" si="15"/>
        <v>9</v>
      </c>
      <c r="N128" s="189"/>
      <c r="O128" s="130">
        <f>IF(Principal!$D$30="Anual",IF(MOD(B128+1,12)=0,VLOOKUP(M128,'Flujos Anuales'!$B$8:$K$39,9),0),VLOOKUP(M128,'Flujos Anuales'!$B$8:$K$39,9)/12)</f>
        <v>311.28273372019015</v>
      </c>
      <c r="P128" s="120">
        <f>VLOOKUP(M128,'Flujos Anuales'!$B$8:$K$39,10)/12</f>
        <v>38.00556322578155</v>
      </c>
      <c r="Q128" s="120">
        <f t="shared" si="16"/>
        <v>2239.1350367285318</v>
      </c>
    </row>
    <row r="129" spans="2:17" x14ac:dyDescent="0.35">
      <c r="B129" s="10">
        <v>115</v>
      </c>
      <c r="C129" s="11">
        <f t="shared" si="10"/>
        <v>1517.9455240683837</v>
      </c>
      <c r="D129" s="11">
        <f t="shared" si="11"/>
        <v>1154.9892820519299</v>
      </c>
      <c r="E129" s="11">
        <f t="shared" si="17"/>
        <v>362.95624201645387</v>
      </c>
      <c r="F129" s="11">
        <f t="shared" si="18"/>
        <v>197635.20639545721</v>
      </c>
      <c r="H129" s="129">
        <f>IF(Principal!$D$25="Anual",IF(MOD(B129+1,12)=0,$W$2*((1+$W$3)^M129),0),$W$2*((1+$W$3)^M129)/12)</f>
        <v>371.90121571417598</v>
      </c>
      <c r="I129" s="68">
        <f t="shared" si="12"/>
        <v>2137.0186647825599</v>
      </c>
      <c r="J129" s="43">
        <f>SUM($I$14:I129)</f>
        <v>244434.10103400625</v>
      </c>
      <c r="K129" s="11">
        <f t="shared" si="13"/>
        <v>0</v>
      </c>
      <c r="L129" s="5">
        <f t="shared" si="14"/>
        <v>1889.8467397825598</v>
      </c>
      <c r="M129" s="10">
        <f t="shared" si="15"/>
        <v>9</v>
      </c>
      <c r="N129" s="189"/>
      <c r="O129" s="130">
        <f>IF(Principal!$D$30="Anual",IF(MOD(B129+1,12)=0,VLOOKUP(M129,'Flujos Anuales'!$B$8:$K$39,9),0),VLOOKUP(M129,'Flujos Anuales'!$B$8:$K$39,9)/12)</f>
        <v>311.28273372019015</v>
      </c>
      <c r="P129" s="120">
        <f>VLOOKUP(M129,'Flujos Anuales'!$B$8:$K$39,10)/12</f>
        <v>38.00556322578155</v>
      </c>
      <c r="Q129" s="120">
        <f t="shared" si="16"/>
        <v>2239.1350367285318</v>
      </c>
    </row>
    <row r="130" spans="2:17" x14ac:dyDescent="0.35">
      <c r="B130" s="10">
        <v>116</v>
      </c>
      <c r="C130" s="11">
        <f t="shared" si="10"/>
        <v>1517.9455240683837</v>
      </c>
      <c r="D130" s="11">
        <f t="shared" si="11"/>
        <v>1152.8720373068338</v>
      </c>
      <c r="E130" s="11">
        <f t="shared" si="17"/>
        <v>365.07348676154993</v>
      </c>
      <c r="F130" s="11">
        <f t="shared" si="18"/>
        <v>197270.13290869567</v>
      </c>
      <c r="H130" s="129">
        <f>IF(Principal!$D$25="Anual",IF(MOD(B130+1,12)=0,$W$2*((1+$W$3)^M130),0),$W$2*((1+$W$3)^M130)/12)</f>
        <v>371.90121571417598</v>
      </c>
      <c r="I130" s="68">
        <f t="shared" si="12"/>
        <v>2137.0186647825599</v>
      </c>
      <c r="J130" s="43">
        <f>SUM($I$14:I130)</f>
        <v>246571.1196987888</v>
      </c>
      <c r="K130" s="11">
        <f t="shared" si="13"/>
        <v>0</v>
      </c>
      <c r="L130" s="5">
        <f t="shared" si="14"/>
        <v>1889.8467397825598</v>
      </c>
      <c r="M130" s="10">
        <f t="shared" si="15"/>
        <v>9</v>
      </c>
      <c r="N130" s="189"/>
      <c r="O130" s="130">
        <f>IF(Principal!$D$30="Anual",IF(MOD(B130+1,12)=0,VLOOKUP(M130,'Flujos Anuales'!$B$8:$K$39,9),0),VLOOKUP(M130,'Flujos Anuales'!$B$8:$K$39,9)/12)</f>
        <v>311.28273372019015</v>
      </c>
      <c r="P130" s="120">
        <f>VLOOKUP(M130,'Flujos Anuales'!$B$8:$K$39,10)/12</f>
        <v>38.00556322578155</v>
      </c>
      <c r="Q130" s="120">
        <f t="shared" si="16"/>
        <v>2239.1350367285318</v>
      </c>
    </row>
    <row r="131" spans="2:17" x14ac:dyDescent="0.35">
      <c r="B131" s="10">
        <v>117</v>
      </c>
      <c r="C131" s="11">
        <f t="shared" si="10"/>
        <v>1517.9455240683837</v>
      </c>
      <c r="D131" s="11">
        <f t="shared" si="11"/>
        <v>1150.7424419673914</v>
      </c>
      <c r="E131" s="11">
        <f t="shared" si="17"/>
        <v>367.20308210099233</v>
      </c>
      <c r="F131" s="11">
        <f t="shared" si="18"/>
        <v>196902.92982659469</v>
      </c>
      <c r="H131" s="129">
        <f>IF(Principal!$D$25="Anual",IF(MOD(B131+1,12)=0,$W$2*((1+$W$3)^M131),0),$W$2*((1+$W$3)^M131)/12)</f>
        <v>371.90121571417598</v>
      </c>
      <c r="I131" s="68">
        <f t="shared" si="12"/>
        <v>2137.0186647825599</v>
      </c>
      <c r="J131" s="43">
        <f>SUM($I$14:I131)</f>
        <v>248708.13836357134</v>
      </c>
      <c r="K131" s="11">
        <f t="shared" si="13"/>
        <v>0</v>
      </c>
      <c r="L131" s="5">
        <f t="shared" si="14"/>
        <v>1889.8467397825598</v>
      </c>
      <c r="M131" s="10">
        <f t="shared" si="15"/>
        <v>9</v>
      </c>
      <c r="N131" s="189"/>
      <c r="O131" s="130">
        <f>IF(Principal!$D$30="Anual",IF(MOD(B131+1,12)=0,VLOOKUP(M131,'Flujos Anuales'!$B$8:$K$39,9),0),VLOOKUP(M131,'Flujos Anuales'!$B$8:$K$39,9)/12)</f>
        <v>311.28273372019015</v>
      </c>
      <c r="P131" s="120">
        <f>VLOOKUP(M131,'Flujos Anuales'!$B$8:$K$39,10)/12</f>
        <v>38.00556322578155</v>
      </c>
      <c r="Q131" s="120">
        <f t="shared" si="16"/>
        <v>2239.1350367285318</v>
      </c>
    </row>
    <row r="132" spans="2:17" x14ac:dyDescent="0.35">
      <c r="B132" s="10">
        <v>118</v>
      </c>
      <c r="C132" s="11">
        <f t="shared" si="10"/>
        <v>1517.9455240683837</v>
      </c>
      <c r="D132" s="11">
        <f t="shared" si="11"/>
        <v>1148.6004239884689</v>
      </c>
      <c r="E132" s="11">
        <f t="shared" si="17"/>
        <v>369.3451000799148</v>
      </c>
      <c r="F132" s="11">
        <f t="shared" si="18"/>
        <v>196533.58472651476</v>
      </c>
      <c r="H132" s="129">
        <f>IF(Principal!$D$25="Anual",IF(MOD(B132+1,12)=0,$W$2*((1+$W$3)^M132),0),$W$2*((1+$W$3)^M132)/12)</f>
        <v>371.90121571417598</v>
      </c>
      <c r="I132" s="68">
        <f t="shared" si="12"/>
        <v>2137.0186647825599</v>
      </c>
      <c r="J132" s="43">
        <f>SUM($I$14:I132)</f>
        <v>250845.15702835389</v>
      </c>
      <c r="K132" s="11">
        <f t="shared" si="13"/>
        <v>0</v>
      </c>
      <c r="L132" s="5">
        <f t="shared" si="14"/>
        <v>1889.8467397825598</v>
      </c>
      <c r="M132" s="10">
        <f t="shared" si="15"/>
        <v>9</v>
      </c>
      <c r="N132" s="189"/>
      <c r="O132" s="130">
        <f>IF(Principal!$D$30="Anual",IF(MOD(B132+1,12)=0,VLOOKUP(M132,'Flujos Anuales'!$B$8:$K$39,9),0),VLOOKUP(M132,'Flujos Anuales'!$B$8:$K$39,9)/12)</f>
        <v>311.28273372019015</v>
      </c>
      <c r="P132" s="120">
        <f>VLOOKUP(M132,'Flujos Anuales'!$B$8:$K$39,10)/12</f>
        <v>38.00556322578155</v>
      </c>
      <c r="Q132" s="120">
        <f t="shared" si="16"/>
        <v>2239.1350367285318</v>
      </c>
    </row>
    <row r="133" spans="2:17" x14ac:dyDescent="0.35">
      <c r="B133" s="10">
        <v>119</v>
      </c>
      <c r="C133" s="11">
        <f t="shared" si="10"/>
        <v>1517.9455240683837</v>
      </c>
      <c r="D133" s="11">
        <f t="shared" si="11"/>
        <v>1146.4459109046695</v>
      </c>
      <c r="E133" s="11">
        <f t="shared" si="17"/>
        <v>371.49961316371423</v>
      </c>
      <c r="F133" s="11">
        <f t="shared" si="18"/>
        <v>196162.08511335106</v>
      </c>
      <c r="H133" s="129">
        <f>IF(Principal!$D$25="Anual",IF(MOD(B133+1,12)=0,$W$2*((1+$W$3)^M133),0),$W$2*((1+$W$3)^M133)/12)</f>
        <v>371.90121571417598</v>
      </c>
      <c r="I133" s="68">
        <f t="shared" si="12"/>
        <v>2137.0186647825599</v>
      </c>
      <c r="J133" s="43">
        <f>SUM($I$14:I133)</f>
        <v>252982.17569313644</v>
      </c>
      <c r="K133" s="11">
        <f t="shared" si="13"/>
        <v>0</v>
      </c>
      <c r="L133" s="5">
        <f t="shared" si="14"/>
        <v>1889.8467397825598</v>
      </c>
      <c r="M133" s="10">
        <f t="shared" si="15"/>
        <v>9</v>
      </c>
      <c r="N133" s="189"/>
      <c r="O133" s="130">
        <f>IF(Principal!$D$30="Anual",IF(MOD(B133+1,12)=0,VLOOKUP(M133,'Flujos Anuales'!$B$8:$K$39,9),0),VLOOKUP(M133,'Flujos Anuales'!$B$8:$K$39,9)/12)</f>
        <v>311.28273372019015</v>
      </c>
      <c r="P133" s="120">
        <f>VLOOKUP(M133,'Flujos Anuales'!$B$8:$K$39,10)/12</f>
        <v>38.00556322578155</v>
      </c>
      <c r="Q133" s="120">
        <f t="shared" si="16"/>
        <v>2239.1350367285318</v>
      </c>
    </row>
    <row r="134" spans="2:17" x14ac:dyDescent="0.35">
      <c r="B134" s="10">
        <v>120</v>
      </c>
      <c r="C134" s="11">
        <f t="shared" si="10"/>
        <v>1517.9455240683837</v>
      </c>
      <c r="D134" s="11">
        <f t="shared" si="11"/>
        <v>1144.2788298278813</v>
      </c>
      <c r="E134" s="11">
        <f t="shared" si="17"/>
        <v>373.66669424050247</v>
      </c>
      <c r="F134" s="11">
        <f t="shared" si="18"/>
        <v>195788.41841911056</v>
      </c>
      <c r="H134" s="129">
        <f>IF(Principal!$D$25="Anual",IF(MOD(B134+1,12)=0,$W$2*((1+$W$3)^M134),0),$W$2*((1+$W$3)^M134)/12)</f>
        <v>374.4554664635175</v>
      </c>
      <c r="I134" s="68">
        <f t="shared" si="12"/>
        <v>2139.5729155319013</v>
      </c>
      <c r="J134" s="43">
        <f>SUM($I$14:I134)</f>
        <v>255121.74860866833</v>
      </c>
      <c r="K134" s="11">
        <f t="shared" si="13"/>
        <v>0</v>
      </c>
      <c r="L134" s="5">
        <f t="shared" si="14"/>
        <v>1892.4009905319012</v>
      </c>
      <c r="M134" s="10">
        <f t="shared" si="15"/>
        <v>10</v>
      </c>
      <c r="N134" s="189">
        <f>SUM(L134:L145)</f>
        <v>22708.811886382813</v>
      </c>
      <c r="O134" s="130">
        <f>IF(Principal!$D$30="Anual",IF(MOD(B134+1,12)=0,VLOOKUP(M134,'Flujos Anuales'!$B$8:$K$39,9),0),VLOOKUP(M134,'Flujos Anuales'!$B$8:$K$39,9)/12)</f>
        <v>325.50053065207254</v>
      </c>
      <c r="P134" s="120">
        <f>VLOOKUP(M134,'Flujos Anuales'!$B$8:$K$39,10)/12</f>
        <v>38.385618858039372</v>
      </c>
      <c r="Q134" s="120">
        <f t="shared" si="16"/>
        <v>2256.2871400420131</v>
      </c>
    </row>
    <row r="135" spans="2:17" x14ac:dyDescent="0.35">
      <c r="B135" s="10">
        <v>121</v>
      </c>
      <c r="C135" s="11">
        <f t="shared" si="10"/>
        <v>1517.9455240683837</v>
      </c>
      <c r="D135" s="11">
        <f t="shared" si="11"/>
        <v>1142.0991074448116</v>
      </c>
      <c r="E135" s="11">
        <f t="shared" si="17"/>
        <v>375.84641662357217</v>
      </c>
      <c r="F135" s="11">
        <f t="shared" si="18"/>
        <v>195412.572002487</v>
      </c>
      <c r="H135" s="129">
        <f>IF(Principal!$D$25="Anual",IF(MOD(B135+1,12)=0,$W$2*((1+$W$3)^M135),0),$W$2*((1+$W$3)^M135)/12)</f>
        <v>374.4554664635175</v>
      </c>
      <c r="I135" s="68">
        <f t="shared" si="12"/>
        <v>2139.5729155319013</v>
      </c>
      <c r="J135" s="43">
        <f>SUM($I$14:I135)</f>
        <v>257261.32152420023</v>
      </c>
      <c r="K135" s="11">
        <f t="shared" si="13"/>
        <v>0</v>
      </c>
      <c r="L135" s="5">
        <f t="shared" si="14"/>
        <v>1892.4009905319012</v>
      </c>
      <c r="M135" s="10">
        <f t="shared" si="15"/>
        <v>10</v>
      </c>
      <c r="N135" s="189"/>
      <c r="O135" s="130">
        <f>IF(Principal!$D$30="Anual",IF(MOD(B135+1,12)=0,VLOOKUP(M135,'Flujos Anuales'!$B$8:$K$39,9),0),VLOOKUP(M135,'Flujos Anuales'!$B$8:$K$39,9)/12)</f>
        <v>325.50053065207254</v>
      </c>
      <c r="P135" s="120">
        <f>VLOOKUP(M135,'Flujos Anuales'!$B$8:$K$39,10)/12</f>
        <v>38.385618858039372</v>
      </c>
      <c r="Q135" s="120">
        <f t="shared" si="16"/>
        <v>2256.2871400420131</v>
      </c>
    </row>
    <row r="136" spans="2:17" x14ac:dyDescent="0.35">
      <c r="B136" s="10">
        <v>122</v>
      </c>
      <c r="C136" s="11">
        <f t="shared" si="10"/>
        <v>1517.9455240683837</v>
      </c>
      <c r="D136" s="11">
        <f t="shared" si="11"/>
        <v>1139.9066700145074</v>
      </c>
      <c r="E136" s="11">
        <f t="shared" si="17"/>
        <v>378.03885405387632</v>
      </c>
      <c r="F136" s="11">
        <f t="shared" si="18"/>
        <v>195034.53314843311</v>
      </c>
      <c r="H136" s="129">
        <f>IF(Principal!$D$25="Anual",IF(MOD(B136+1,12)=0,$W$2*((1+$W$3)^M136),0),$W$2*((1+$W$3)^M136)/12)</f>
        <v>374.4554664635175</v>
      </c>
      <c r="I136" s="68">
        <f t="shared" si="12"/>
        <v>2139.5729155319013</v>
      </c>
      <c r="J136" s="43">
        <f>SUM($I$14:I136)</f>
        <v>259400.89443973213</v>
      </c>
      <c r="K136" s="11">
        <f t="shared" si="13"/>
        <v>0</v>
      </c>
      <c r="L136" s="5">
        <f t="shared" si="14"/>
        <v>1892.4009905319012</v>
      </c>
      <c r="M136" s="10">
        <f t="shared" si="15"/>
        <v>10</v>
      </c>
      <c r="N136" s="189"/>
      <c r="O136" s="130">
        <f>IF(Principal!$D$30="Anual",IF(MOD(B136+1,12)=0,VLOOKUP(M136,'Flujos Anuales'!$B$8:$K$39,9),0),VLOOKUP(M136,'Flujos Anuales'!$B$8:$K$39,9)/12)</f>
        <v>325.50053065207254</v>
      </c>
      <c r="P136" s="120">
        <f>VLOOKUP(M136,'Flujos Anuales'!$B$8:$K$39,10)/12</f>
        <v>38.385618858039372</v>
      </c>
      <c r="Q136" s="120">
        <f t="shared" si="16"/>
        <v>2256.2871400420131</v>
      </c>
    </row>
    <row r="137" spans="2:17" x14ac:dyDescent="0.35">
      <c r="B137" s="10">
        <v>123</v>
      </c>
      <c r="C137" s="11">
        <f t="shared" si="10"/>
        <v>1517.9455240683837</v>
      </c>
      <c r="D137" s="11">
        <f t="shared" si="11"/>
        <v>1137.7014433658599</v>
      </c>
      <c r="E137" s="11">
        <f t="shared" si="17"/>
        <v>380.24408070252389</v>
      </c>
      <c r="F137" s="11">
        <f t="shared" si="18"/>
        <v>194654.2890677306</v>
      </c>
      <c r="H137" s="129">
        <f>IF(Principal!$D$25="Anual",IF(MOD(B137+1,12)=0,$W$2*((1+$W$3)^M137),0),$W$2*((1+$W$3)^M137)/12)</f>
        <v>374.4554664635175</v>
      </c>
      <c r="I137" s="68">
        <f t="shared" si="12"/>
        <v>2139.5729155319013</v>
      </c>
      <c r="J137" s="43">
        <f>SUM($I$14:I137)</f>
        <v>261540.46735526403</v>
      </c>
      <c r="K137" s="11">
        <f t="shared" si="13"/>
        <v>0</v>
      </c>
      <c r="L137" s="5">
        <f t="shared" si="14"/>
        <v>1892.4009905319012</v>
      </c>
      <c r="M137" s="10">
        <f t="shared" si="15"/>
        <v>10</v>
      </c>
      <c r="N137" s="189"/>
      <c r="O137" s="130">
        <f>IF(Principal!$D$30="Anual",IF(MOD(B137+1,12)=0,VLOOKUP(M137,'Flujos Anuales'!$B$8:$K$39,9),0),VLOOKUP(M137,'Flujos Anuales'!$B$8:$K$39,9)/12)</f>
        <v>325.50053065207254</v>
      </c>
      <c r="P137" s="120">
        <f>VLOOKUP(M137,'Flujos Anuales'!$B$8:$K$39,10)/12</f>
        <v>38.385618858039372</v>
      </c>
      <c r="Q137" s="120">
        <f t="shared" si="16"/>
        <v>2256.2871400420131</v>
      </c>
    </row>
    <row r="138" spans="2:17" x14ac:dyDescent="0.35">
      <c r="B138" s="10">
        <v>124</v>
      </c>
      <c r="C138" s="11">
        <f t="shared" si="10"/>
        <v>1517.9455240683837</v>
      </c>
      <c r="D138" s="11">
        <f t="shared" si="11"/>
        <v>1135.4833528950953</v>
      </c>
      <c r="E138" s="11">
        <f t="shared" si="17"/>
        <v>382.46217117328843</v>
      </c>
      <c r="F138" s="11">
        <f t="shared" si="18"/>
        <v>194271.82689655732</v>
      </c>
      <c r="H138" s="129">
        <f>IF(Principal!$D$25="Anual",IF(MOD(B138+1,12)=0,$W$2*((1+$W$3)^M138),0),$W$2*((1+$W$3)^M138)/12)</f>
        <v>374.4554664635175</v>
      </c>
      <c r="I138" s="68">
        <f t="shared" si="12"/>
        <v>2139.5729155319013</v>
      </c>
      <c r="J138" s="43">
        <f>SUM($I$14:I138)</f>
        <v>263680.04027079593</v>
      </c>
      <c r="K138" s="11">
        <f t="shared" si="13"/>
        <v>0</v>
      </c>
      <c r="L138" s="5">
        <f t="shared" si="14"/>
        <v>1892.4009905319012</v>
      </c>
      <c r="M138" s="10">
        <f t="shared" si="15"/>
        <v>10</v>
      </c>
      <c r="N138" s="189"/>
      <c r="O138" s="130">
        <f>IF(Principal!$D$30="Anual",IF(MOD(B138+1,12)=0,VLOOKUP(M138,'Flujos Anuales'!$B$8:$K$39,9),0),VLOOKUP(M138,'Flujos Anuales'!$B$8:$K$39,9)/12)</f>
        <v>325.50053065207254</v>
      </c>
      <c r="P138" s="120">
        <f>VLOOKUP(M138,'Flujos Anuales'!$B$8:$K$39,10)/12</f>
        <v>38.385618858039372</v>
      </c>
      <c r="Q138" s="120">
        <f t="shared" si="16"/>
        <v>2256.2871400420131</v>
      </c>
    </row>
    <row r="139" spans="2:17" x14ac:dyDescent="0.35">
      <c r="B139" s="10">
        <v>125</v>
      </c>
      <c r="C139" s="11">
        <f t="shared" si="10"/>
        <v>1517.9455240683837</v>
      </c>
      <c r="D139" s="11">
        <f t="shared" si="11"/>
        <v>1133.2523235632511</v>
      </c>
      <c r="E139" s="11">
        <f t="shared" si="17"/>
        <v>384.69320050513261</v>
      </c>
      <c r="F139" s="11">
        <f t="shared" si="18"/>
        <v>193887.13369605219</v>
      </c>
      <c r="H139" s="129">
        <f>IF(Principal!$D$25="Anual",IF(MOD(B139+1,12)=0,$W$2*((1+$W$3)^M139),0),$W$2*((1+$W$3)^M139)/12)</f>
        <v>374.4554664635175</v>
      </c>
      <c r="I139" s="68">
        <f t="shared" si="12"/>
        <v>2139.5729155319013</v>
      </c>
      <c r="J139" s="43">
        <f>SUM($I$14:I139)</f>
        <v>265819.61318632786</v>
      </c>
      <c r="K139" s="11">
        <f t="shared" si="13"/>
        <v>0</v>
      </c>
      <c r="L139" s="5">
        <f t="shared" si="14"/>
        <v>1892.4009905319012</v>
      </c>
      <c r="M139" s="10">
        <f t="shared" si="15"/>
        <v>10</v>
      </c>
      <c r="N139" s="189"/>
      <c r="O139" s="130">
        <f>IF(Principal!$D$30="Anual",IF(MOD(B139+1,12)=0,VLOOKUP(M139,'Flujos Anuales'!$B$8:$K$39,9),0),VLOOKUP(M139,'Flujos Anuales'!$B$8:$K$39,9)/12)</f>
        <v>325.50053065207254</v>
      </c>
      <c r="P139" s="120">
        <f>VLOOKUP(M139,'Flujos Anuales'!$B$8:$K$39,10)/12</f>
        <v>38.385618858039372</v>
      </c>
      <c r="Q139" s="120">
        <f t="shared" si="16"/>
        <v>2256.2871400420131</v>
      </c>
    </row>
    <row r="140" spans="2:17" x14ac:dyDescent="0.35">
      <c r="B140" s="10">
        <v>126</v>
      </c>
      <c r="C140" s="11">
        <f t="shared" si="10"/>
        <v>1517.9455240683837</v>
      </c>
      <c r="D140" s="11">
        <f t="shared" si="11"/>
        <v>1131.0082798936378</v>
      </c>
      <c r="E140" s="11">
        <f t="shared" si="17"/>
        <v>386.93724417474596</v>
      </c>
      <c r="F140" s="11">
        <f t="shared" si="18"/>
        <v>193500.19645187745</v>
      </c>
      <c r="H140" s="129">
        <f>IF(Principal!$D$25="Anual",IF(MOD(B140+1,12)=0,$W$2*((1+$W$3)^M140),0),$W$2*((1+$W$3)^M140)/12)</f>
        <v>374.4554664635175</v>
      </c>
      <c r="I140" s="68">
        <f t="shared" si="12"/>
        <v>2139.5729155319013</v>
      </c>
      <c r="J140" s="43">
        <f>SUM($I$14:I140)</f>
        <v>267959.18610185978</v>
      </c>
      <c r="K140" s="11">
        <f t="shared" si="13"/>
        <v>0</v>
      </c>
      <c r="L140" s="5">
        <f t="shared" si="14"/>
        <v>1892.4009905319012</v>
      </c>
      <c r="M140" s="10">
        <f t="shared" si="15"/>
        <v>10</v>
      </c>
      <c r="N140" s="189"/>
      <c r="O140" s="130">
        <f>IF(Principal!$D$30="Anual",IF(MOD(B140+1,12)=0,VLOOKUP(M140,'Flujos Anuales'!$B$8:$K$39,9),0),VLOOKUP(M140,'Flujos Anuales'!$B$8:$K$39,9)/12)</f>
        <v>325.50053065207254</v>
      </c>
      <c r="P140" s="120">
        <f>VLOOKUP(M140,'Flujos Anuales'!$B$8:$K$39,10)/12</f>
        <v>38.385618858039372</v>
      </c>
      <c r="Q140" s="120">
        <f t="shared" si="16"/>
        <v>2256.2871400420131</v>
      </c>
    </row>
    <row r="141" spans="2:17" x14ac:dyDescent="0.35">
      <c r="B141" s="10">
        <v>127</v>
      </c>
      <c r="C141" s="11">
        <f t="shared" si="10"/>
        <v>1517.9455240683837</v>
      </c>
      <c r="D141" s="11">
        <f t="shared" si="11"/>
        <v>1128.7511459692851</v>
      </c>
      <c r="E141" s="11">
        <f t="shared" si="17"/>
        <v>389.19437809909869</v>
      </c>
      <c r="F141" s="11">
        <f t="shared" si="18"/>
        <v>193111.00207377836</v>
      </c>
      <c r="H141" s="129">
        <f>IF(Principal!$D$25="Anual",IF(MOD(B141+1,12)=0,$W$2*((1+$W$3)^M141),0),$W$2*((1+$W$3)^M141)/12)</f>
        <v>374.4554664635175</v>
      </c>
      <c r="I141" s="68">
        <f t="shared" si="12"/>
        <v>2139.5729155319013</v>
      </c>
      <c r="J141" s="43">
        <f>SUM($I$14:I141)</f>
        <v>270098.75901739171</v>
      </c>
      <c r="K141" s="11">
        <f t="shared" si="13"/>
        <v>0</v>
      </c>
      <c r="L141" s="5">
        <f t="shared" si="14"/>
        <v>1892.4009905319012</v>
      </c>
      <c r="M141" s="10">
        <f t="shared" si="15"/>
        <v>10</v>
      </c>
      <c r="N141" s="189"/>
      <c r="O141" s="130">
        <f>IF(Principal!$D$30="Anual",IF(MOD(B141+1,12)=0,VLOOKUP(M141,'Flujos Anuales'!$B$8:$K$39,9),0),VLOOKUP(M141,'Flujos Anuales'!$B$8:$K$39,9)/12)</f>
        <v>325.50053065207254</v>
      </c>
      <c r="P141" s="120">
        <f>VLOOKUP(M141,'Flujos Anuales'!$B$8:$K$39,10)/12</f>
        <v>38.385618858039372</v>
      </c>
      <c r="Q141" s="120">
        <f t="shared" si="16"/>
        <v>2256.2871400420131</v>
      </c>
    </row>
    <row r="142" spans="2:17" x14ac:dyDescent="0.35">
      <c r="B142" s="10">
        <v>128</v>
      </c>
      <c r="C142" s="11">
        <f t="shared" si="10"/>
        <v>1517.9455240683837</v>
      </c>
      <c r="D142" s="11">
        <f t="shared" si="11"/>
        <v>1126.4808454303738</v>
      </c>
      <c r="E142" s="11">
        <f t="shared" si="17"/>
        <v>391.4646786380099</v>
      </c>
      <c r="F142" s="11">
        <f t="shared" si="18"/>
        <v>192719.53739514036</v>
      </c>
      <c r="H142" s="129">
        <f>IF(Principal!$D$25="Anual",IF(MOD(B142+1,12)=0,$W$2*((1+$W$3)^M142),0),$W$2*((1+$W$3)^M142)/12)</f>
        <v>374.4554664635175</v>
      </c>
      <c r="I142" s="68">
        <f t="shared" si="12"/>
        <v>2139.5729155319013</v>
      </c>
      <c r="J142" s="43">
        <f>SUM($I$14:I142)</f>
        <v>272238.33193292364</v>
      </c>
      <c r="K142" s="11">
        <f t="shared" si="13"/>
        <v>0</v>
      </c>
      <c r="L142" s="5">
        <f t="shared" si="14"/>
        <v>1892.4009905319012</v>
      </c>
      <c r="M142" s="10">
        <f t="shared" si="15"/>
        <v>10</v>
      </c>
      <c r="N142" s="189"/>
      <c r="O142" s="130">
        <f>IF(Principal!$D$30="Anual",IF(MOD(B142+1,12)=0,VLOOKUP(M142,'Flujos Anuales'!$B$8:$K$39,9),0),VLOOKUP(M142,'Flujos Anuales'!$B$8:$K$39,9)/12)</f>
        <v>325.50053065207254</v>
      </c>
      <c r="P142" s="120">
        <f>VLOOKUP(M142,'Flujos Anuales'!$B$8:$K$39,10)/12</f>
        <v>38.385618858039372</v>
      </c>
      <c r="Q142" s="120">
        <f t="shared" si="16"/>
        <v>2256.2871400420131</v>
      </c>
    </row>
    <row r="143" spans="2:17" x14ac:dyDescent="0.35">
      <c r="B143" s="10">
        <v>129</v>
      </c>
      <c r="C143" s="11">
        <f t="shared" ref="C143:C206" si="19">$T$9</f>
        <v>1517.9455240683837</v>
      </c>
      <c r="D143" s="11">
        <f t="shared" ref="D143:D206" si="20">F142*$T$4</f>
        <v>1124.1973014716521</v>
      </c>
      <c r="E143" s="11">
        <f t="shared" si="17"/>
        <v>393.74822259673169</v>
      </c>
      <c r="F143" s="11">
        <f t="shared" si="18"/>
        <v>192325.78917254362</v>
      </c>
      <c r="H143" s="129">
        <f>IF(Principal!$D$25="Anual",IF(MOD(B143+1,12)=0,$W$2*((1+$W$3)^M143),0),$W$2*((1+$W$3)^M143)/12)</f>
        <v>374.4554664635175</v>
      </c>
      <c r="I143" s="68">
        <f t="shared" ref="I143:I206" si="21">C143+H143+$W$5</f>
        <v>2139.5729155319013</v>
      </c>
      <c r="J143" s="43">
        <f>SUM($I$14:I143)</f>
        <v>274377.90484845557</v>
      </c>
      <c r="K143" s="11">
        <f t="shared" ref="K143:K206" si="22">IF(J143&gt;=$W$6,0,$W$5)</f>
        <v>0</v>
      </c>
      <c r="L143" s="5">
        <f t="shared" ref="L143:L206" si="23">IF(K143=$W$5,I143,I143-$W$5)</f>
        <v>1892.4009905319012</v>
      </c>
      <c r="M143" s="10">
        <f t="shared" ref="M143:M206" si="24">ROUNDDOWN(B143/12,0)</f>
        <v>10</v>
      </c>
      <c r="N143" s="189"/>
      <c r="O143" s="130">
        <f>IF(Principal!$D$30="Anual",IF(MOD(B143+1,12)=0,VLOOKUP(M143,'Flujos Anuales'!$B$8:$K$39,9),0),VLOOKUP(M143,'Flujos Anuales'!$B$8:$K$39,9)/12)</f>
        <v>325.50053065207254</v>
      </c>
      <c r="P143" s="120">
        <f>VLOOKUP(M143,'Flujos Anuales'!$B$8:$K$39,10)/12</f>
        <v>38.385618858039372</v>
      </c>
      <c r="Q143" s="120">
        <f t="shared" ref="Q143:Q206" si="25">L143+O143+P143</f>
        <v>2256.2871400420131</v>
      </c>
    </row>
    <row r="144" spans="2:17" x14ac:dyDescent="0.35">
      <c r="B144" s="10">
        <v>130</v>
      </c>
      <c r="C144" s="11">
        <f t="shared" si="19"/>
        <v>1517.9455240683837</v>
      </c>
      <c r="D144" s="11">
        <f t="shared" si="20"/>
        <v>1121.9004368398378</v>
      </c>
      <c r="E144" s="11">
        <f t="shared" ref="E144:E207" si="26">C144-D144</f>
        <v>396.04508722854598</v>
      </c>
      <c r="F144" s="11">
        <f t="shared" ref="F144:F207" si="27">F143-E144</f>
        <v>191929.74408531506</v>
      </c>
      <c r="H144" s="129">
        <f>IF(Principal!$D$25="Anual",IF(MOD(B144+1,12)=0,$W$2*((1+$W$3)^M144),0),$W$2*((1+$W$3)^M144)/12)</f>
        <v>374.4554664635175</v>
      </c>
      <c r="I144" s="68">
        <f t="shared" si="21"/>
        <v>2139.5729155319013</v>
      </c>
      <c r="J144" s="43">
        <f>SUM($I$14:I144)</f>
        <v>276517.4777639875</v>
      </c>
      <c r="K144" s="11">
        <f t="shared" si="22"/>
        <v>0</v>
      </c>
      <c r="L144" s="5">
        <f t="shared" si="23"/>
        <v>1892.4009905319012</v>
      </c>
      <c r="M144" s="10">
        <f t="shared" si="24"/>
        <v>10</v>
      </c>
      <c r="N144" s="189"/>
      <c r="O144" s="130">
        <f>IF(Principal!$D$30="Anual",IF(MOD(B144+1,12)=0,VLOOKUP(M144,'Flujos Anuales'!$B$8:$K$39,9),0),VLOOKUP(M144,'Flujos Anuales'!$B$8:$K$39,9)/12)</f>
        <v>325.50053065207254</v>
      </c>
      <c r="P144" s="120">
        <f>VLOOKUP(M144,'Flujos Anuales'!$B$8:$K$39,10)/12</f>
        <v>38.385618858039372</v>
      </c>
      <c r="Q144" s="120">
        <f t="shared" si="25"/>
        <v>2256.2871400420131</v>
      </c>
    </row>
    <row r="145" spans="2:17" x14ac:dyDescent="0.35">
      <c r="B145" s="10">
        <v>131</v>
      </c>
      <c r="C145" s="11">
        <f t="shared" si="19"/>
        <v>1517.9455240683837</v>
      </c>
      <c r="D145" s="11">
        <f t="shared" si="20"/>
        <v>1119.5901738310047</v>
      </c>
      <c r="E145" s="11">
        <f t="shared" si="26"/>
        <v>398.35535023737907</v>
      </c>
      <c r="F145" s="11">
        <f t="shared" si="27"/>
        <v>191531.38873507769</v>
      </c>
      <c r="H145" s="129">
        <f>IF(Principal!$D$25="Anual",IF(MOD(B145+1,12)=0,$W$2*((1+$W$3)^M145),0),$W$2*((1+$W$3)^M145)/12)</f>
        <v>374.4554664635175</v>
      </c>
      <c r="I145" s="68">
        <f t="shared" si="21"/>
        <v>2139.5729155319013</v>
      </c>
      <c r="J145" s="43">
        <f>SUM($I$14:I145)</f>
        <v>278657.05067951942</v>
      </c>
      <c r="K145" s="11">
        <f t="shared" si="22"/>
        <v>0</v>
      </c>
      <c r="L145" s="5">
        <f t="shared" si="23"/>
        <v>1892.4009905319012</v>
      </c>
      <c r="M145" s="10">
        <f t="shared" si="24"/>
        <v>10</v>
      </c>
      <c r="N145" s="189"/>
      <c r="O145" s="130">
        <f>IF(Principal!$D$30="Anual",IF(MOD(B145+1,12)=0,VLOOKUP(M145,'Flujos Anuales'!$B$8:$K$39,9),0),VLOOKUP(M145,'Flujos Anuales'!$B$8:$K$39,9)/12)</f>
        <v>325.50053065207254</v>
      </c>
      <c r="P145" s="120">
        <f>VLOOKUP(M145,'Flujos Anuales'!$B$8:$K$39,10)/12</f>
        <v>38.385618858039372</v>
      </c>
      <c r="Q145" s="120">
        <f t="shared" si="25"/>
        <v>2256.2871400420131</v>
      </c>
    </row>
    <row r="146" spans="2:17" x14ac:dyDescent="0.35">
      <c r="B146" s="10">
        <v>132</v>
      </c>
      <c r="C146" s="11">
        <f t="shared" si="19"/>
        <v>1517.9455240683837</v>
      </c>
      <c r="D146" s="11">
        <f t="shared" si="20"/>
        <v>1117.2664342879532</v>
      </c>
      <c r="E146" s="11">
        <f t="shared" si="26"/>
        <v>400.67908978043056</v>
      </c>
      <c r="F146" s="11">
        <f t="shared" si="27"/>
        <v>191130.70964529726</v>
      </c>
      <c r="H146" s="129">
        <f>IF(Principal!$D$25="Anual",IF(MOD(B146+1,12)=0,$W$2*((1+$W$3)^M146),0),$W$2*((1+$W$3)^M146)/12)</f>
        <v>377.02726003502488</v>
      </c>
      <c r="I146" s="68">
        <f t="shared" si="21"/>
        <v>2142.1447091034088</v>
      </c>
      <c r="J146" s="43">
        <f>SUM($I$14:I146)</f>
        <v>280799.19538862281</v>
      </c>
      <c r="K146" s="11">
        <f t="shared" si="22"/>
        <v>0</v>
      </c>
      <c r="L146" s="5">
        <f t="shared" si="23"/>
        <v>1894.9727841034087</v>
      </c>
      <c r="M146" s="10">
        <f t="shared" si="24"/>
        <v>11</v>
      </c>
      <c r="N146" s="189">
        <f>SUM(L146:L157)</f>
        <v>22739.673409240902</v>
      </c>
      <c r="O146" s="130">
        <f>IF(Principal!$D$30="Anual",IF(MOD(B146+1,12)=0,VLOOKUP(M146,'Flujos Anuales'!$B$8:$K$39,9),0),VLOOKUP(M146,'Flujos Anuales'!$B$8:$K$39,9)/12)</f>
        <v>340.36772354363552</v>
      </c>
      <c r="P146" s="120">
        <f>VLOOKUP(M146,'Flujos Anuales'!$B$8:$K$39,10)/12</f>
        <v>38.769475046619768</v>
      </c>
      <c r="Q146" s="120">
        <f t="shared" si="25"/>
        <v>2274.1099826936643</v>
      </c>
    </row>
    <row r="147" spans="2:17" x14ac:dyDescent="0.35">
      <c r="B147" s="10">
        <v>133</v>
      </c>
      <c r="C147" s="11">
        <f t="shared" si="19"/>
        <v>1517.9455240683837</v>
      </c>
      <c r="D147" s="11">
        <f t="shared" si="20"/>
        <v>1114.9291395975674</v>
      </c>
      <c r="E147" s="11">
        <f t="shared" si="26"/>
        <v>403.01638447081632</v>
      </c>
      <c r="F147" s="11">
        <f t="shared" si="27"/>
        <v>190727.69326082643</v>
      </c>
      <c r="H147" s="129">
        <f>IF(Principal!$D$25="Anual",IF(MOD(B147+1,12)=0,$W$2*((1+$W$3)^M147),0),$W$2*((1+$W$3)^M147)/12)</f>
        <v>377.02726003502488</v>
      </c>
      <c r="I147" s="68">
        <f t="shared" si="21"/>
        <v>2142.1447091034088</v>
      </c>
      <c r="J147" s="43">
        <f>SUM($I$14:I147)</f>
        <v>282941.34009772621</v>
      </c>
      <c r="K147" s="11">
        <f t="shared" si="22"/>
        <v>0</v>
      </c>
      <c r="L147" s="5">
        <f t="shared" si="23"/>
        <v>1894.9727841034087</v>
      </c>
      <c r="M147" s="10">
        <f t="shared" si="24"/>
        <v>11</v>
      </c>
      <c r="N147" s="189"/>
      <c r="O147" s="130">
        <f>IF(Principal!$D$30="Anual",IF(MOD(B147+1,12)=0,VLOOKUP(M147,'Flujos Anuales'!$B$8:$K$39,9),0),VLOOKUP(M147,'Flujos Anuales'!$B$8:$K$39,9)/12)</f>
        <v>340.36772354363552</v>
      </c>
      <c r="P147" s="120">
        <f>VLOOKUP(M147,'Flujos Anuales'!$B$8:$K$39,10)/12</f>
        <v>38.769475046619768</v>
      </c>
      <c r="Q147" s="120">
        <f t="shared" si="25"/>
        <v>2274.1099826936643</v>
      </c>
    </row>
    <row r="148" spans="2:17" x14ac:dyDescent="0.35">
      <c r="B148" s="10">
        <v>134</v>
      </c>
      <c r="C148" s="11">
        <f t="shared" si="19"/>
        <v>1517.9455240683837</v>
      </c>
      <c r="D148" s="11">
        <f t="shared" si="20"/>
        <v>1112.5782106881543</v>
      </c>
      <c r="E148" s="11">
        <f t="shared" si="26"/>
        <v>405.36731338022946</v>
      </c>
      <c r="F148" s="11">
        <f t="shared" si="27"/>
        <v>190322.3259474462</v>
      </c>
      <c r="H148" s="129">
        <f>IF(Principal!$D$25="Anual",IF(MOD(B148+1,12)=0,$W$2*((1+$W$3)^M148),0),$W$2*((1+$W$3)^M148)/12)</f>
        <v>377.02726003502488</v>
      </c>
      <c r="I148" s="68">
        <f t="shared" si="21"/>
        <v>2142.1447091034088</v>
      </c>
      <c r="J148" s="43">
        <f>SUM($I$14:I148)</f>
        <v>285083.4848068296</v>
      </c>
      <c r="K148" s="11">
        <f t="shared" si="22"/>
        <v>0</v>
      </c>
      <c r="L148" s="5">
        <f t="shared" si="23"/>
        <v>1894.9727841034087</v>
      </c>
      <c r="M148" s="10">
        <f t="shared" si="24"/>
        <v>11</v>
      </c>
      <c r="N148" s="189"/>
      <c r="O148" s="130">
        <f>IF(Principal!$D$30="Anual",IF(MOD(B148+1,12)=0,VLOOKUP(M148,'Flujos Anuales'!$B$8:$K$39,9),0),VLOOKUP(M148,'Flujos Anuales'!$B$8:$K$39,9)/12)</f>
        <v>340.36772354363552</v>
      </c>
      <c r="P148" s="120">
        <f>VLOOKUP(M148,'Flujos Anuales'!$B$8:$K$39,10)/12</f>
        <v>38.769475046619768</v>
      </c>
      <c r="Q148" s="120">
        <f t="shared" si="25"/>
        <v>2274.1099826936643</v>
      </c>
    </row>
    <row r="149" spans="2:17" x14ac:dyDescent="0.35">
      <c r="B149" s="10">
        <v>135</v>
      </c>
      <c r="C149" s="11">
        <f t="shared" si="19"/>
        <v>1517.9455240683837</v>
      </c>
      <c r="D149" s="11">
        <f t="shared" si="20"/>
        <v>1110.2135680267695</v>
      </c>
      <c r="E149" s="11">
        <f t="shared" si="26"/>
        <v>407.73195604161424</v>
      </c>
      <c r="F149" s="11">
        <f t="shared" si="27"/>
        <v>189914.59399140457</v>
      </c>
      <c r="H149" s="129">
        <f>IF(Principal!$D$25="Anual",IF(MOD(B149+1,12)=0,$W$2*((1+$W$3)^M149),0),$W$2*((1+$W$3)^M149)/12)</f>
        <v>377.02726003502488</v>
      </c>
      <c r="I149" s="68">
        <f t="shared" si="21"/>
        <v>2142.1447091034088</v>
      </c>
      <c r="J149" s="43">
        <f>SUM($I$14:I149)</f>
        <v>287225.62951593299</v>
      </c>
      <c r="K149" s="11">
        <f t="shared" si="22"/>
        <v>0</v>
      </c>
      <c r="L149" s="5">
        <f t="shared" si="23"/>
        <v>1894.9727841034087</v>
      </c>
      <c r="M149" s="10">
        <f t="shared" si="24"/>
        <v>11</v>
      </c>
      <c r="N149" s="189"/>
      <c r="O149" s="130">
        <f>IF(Principal!$D$30="Anual",IF(MOD(B149+1,12)=0,VLOOKUP(M149,'Flujos Anuales'!$B$8:$K$39,9),0),VLOOKUP(M149,'Flujos Anuales'!$B$8:$K$39,9)/12)</f>
        <v>340.36772354363552</v>
      </c>
      <c r="P149" s="120">
        <f>VLOOKUP(M149,'Flujos Anuales'!$B$8:$K$39,10)/12</f>
        <v>38.769475046619768</v>
      </c>
      <c r="Q149" s="120">
        <f t="shared" si="25"/>
        <v>2274.1099826936643</v>
      </c>
    </row>
    <row r="150" spans="2:17" x14ac:dyDescent="0.35">
      <c r="B150" s="10">
        <v>136</v>
      </c>
      <c r="C150" s="11">
        <f t="shared" si="19"/>
        <v>1517.9455240683837</v>
      </c>
      <c r="D150" s="11">
        <f t="shared" si="20"/>
        <v>1107.8351316165267</v>
      </c>
      <c r="E150" s="11">
        <f t="shared" si="26"/>
        <v>410.11039245185702</v>
      </c>
      <c r="F150" s="11">
        <f t="shared" si="27"/>
        <v>189504.48359895271</v>
      </c>
      <c r="H150" s="129">
        <f>IF(Principal!$D$25="Anual",IF(MOD(B150+1,12)=0,$W$2*((1+$W$3)^M150),0),$W$2*((1+$W$3)^M150)/12)</f>
        <v>377.02726003502488</v>
      </c>
      <c r="I150" s="68">
        <f t="shared" si="21"/>
        <v>2142.1447091034088</v>
      </c>
      <c r="J150" s="43">
        <f>SUM($I$14:I150)</f>
        <v>289367.77422503638</v>
      </c>
      <c r="K150" s="11">
        <f t="shared" si="22"/>
        <v>0</v>
      </c>
      <c r="L150" s="5">
        <f t="shared" si="23"/>
        <v>1894.9727841034087</v>
      </c>
      <c r="M150" s="10">
        <f t="shared" si="24"/>
        <v>11</v>
      </c>
      <c r="N150" s="189"/>
      <c r="O150" s="130">
        <f>IF(Principal!$D$30="Anual",IF(MOD(B150+1,12)=0,VLOOKUP(M150,'Flujos Anuales'!$B$8:$K$39,9),0),VLOOKUP(M150,'Flujos Anuales'!$B$8:$K$39,9)/12)</f>
        <v>340.36772354363552</v>
      </c>
      <c r="P150" s="120">
        <f>VLOOKUP(M150,'Flujos Anuales'!$B$8:$K$39,10)/12</f>
        <v>38.769475046619768</v>
      </c>
      <c r="Q150" s="120">
        <f t="shared" si="25"/>
        <v>2274.1099826936643</v>
      </c>
    </row>
    <row r="151" spans="2:17" x14ac:dyDescent="0.35">
      <c r="B151" s="10">
        <v>137</v>
      </c>
      <c r="C151" s="11">
        <f t="shared" si="19"/>
        <v>1517.9455240683837</v>
      </c>
      <c r="D151" s="11">
        <f t="shared" si="20"/>
        <v>1105.4428209938908</v>
      </c>
      <c r="E151" s="11">
        <f t="shared" si="26"/>
        <v>412.50270307449296</v>
      </c>
      <c r="F151" s="11">
        <f t="shared" si="27"/>
        <v>189091.98089587822</v>
      </c>
      <c r="H151" s="129">
        <f>IF(Principal!$D$25="Anual",IF(MOD(B151+1,12)=0,$W$2*((1+$W$3)^M151),0),$W$2*((1+$W$3)^M151)/12)</f>
        <v>377.02726003502488</v>
      </c>
      <c r="I151" s="68">
        <f t="shared" si="21"/>
        <v>2142.1447091034088</v>
      </c>
      <c r="J151" s="43">
        <f>SUM($I$14:I151)</f>
        <v>291509.91893413977</v>
      </c>
      <c r="K151" s="11">
        <f t="shared" si="22"/>
        <v>0</v>
      </c>
      <c r="L151" s="5">
        <f t="shared" si="23"/>
        <v>1894.9727841034087</v>
      </c>
      <c r="M151" s="10">
        <f t="shared" si="24"/>
        <v>11</v>
      </c>
      <c r="N151" s="189"/>
      <c r="O151" s="130">
        <f>IF(Principal!$D$30="Anual",IF(MOD(B151+1,12)=0,VLOOKUP(M151,'Flujos Anuales'!$B$8:$K$39,9),0),VLOOKUP(M151,'Flujos Anuales'!$B$8:$K$39,9)/12)</f>
        <v>340.36772354363552</v>
      </c>
      <c r="P151" s="120">
        <f>VLOOKUP(M151,'Flujos Anuales'!$B$8:$K$39,10)/12</f>
        <v>38.769475046619768</v>
      </c>
      <c r="Q151" s="120">
        <f t="shared" si="25"/>
        <v>2274.1099826936643</v>
      </c>
    </row>
    <row r="152" spans="2:17" x14ac:dyDescent="0.35">
      <c r="B152" s="10">
        <v>138</v>
      </c>
      <c r="C152" s="11">
        <f t="shared" si="19"/>
        <v>1517.9455240683837</v>
      </c>
      <c r="D152" s="11">
        <f t="shared" si="20"/>
        <v>1103.0365552259564</v>
      </c>
      <c r="E152" s="11">
        <f t="shared" si="26"/>
        <v>414.90896884242738</v>
      </c>
      <c r="F152" s="11">
        <f t="shared" si="27"/>
        <v>188677.07192703581</v>
      </c>
      <c r="H152" s="129">
        <f>IF(Principal!$D$25="Anual",IF(MOD(B152+1,12)=0,$W$2*((1+$W$3)^M152),0),$W$2*((1+$W$3)^M152)/12)</f>
        <v>377.02726003502488</v>
      </c>
      <c r="I152" s="68">
        <f t="shared" si="21"/>
        <v>2142.1447091034088</v>
      </c>
      <c r="J152" s="43">
        <f>SUM($I$14:I152)</f>
        <v>293652.06364324316</v>
      </c>
      <c r="K152" s="11">
        <f t="shared" si="22"/>
        <v>0</v>
      </c>
      <c r="L152" s="5">
        <f t="shared" si="23"/>
        <v>1894.9727841034087</v>
      </c>
      <c r="M152" s="10">
        <f t="shared" si="24"/>
        <v>11</v>
      </c>
      <c r="N152" s="189"/>
      <c r="O152" s="130">
        <f>IF(Principal!$D$30="Anual",IF(MOD(B152+1,12)=0,VLOOKUP(M152,'Flujos Anuales'!$B$8:$K$39,9),0),VLOOKUP(M152,'Flujos Anuales'!$B$8:$K$39,9)/12)</f>
        <v>340.36772354363552</v>
      </c>
      <c r="P152" s="120">
        <f>VLOOKUP(M152,'Flujos Anuales'!$B$8:$K$39,10)/12</f>
        <v>38.769475046619768</v>
      </c>
      <c r="Q152" s="120">
        <f t="shared" si="25"/>
        <v>2274.1099826936643</v>
      </c>
    </row>
    <row r="153" spans="2:17" x14ac:dyDescent="0.35">
      <c r="B153" s="10">
        <v>139</v>
      </c>
      <c r="C153" s="11">
        <f t="shared" si="19"/>
        <v>1517.9455240683837</v>
      </c>
      <c r="D153" s="11">
        <f t="shared" si="20"/>
        <v>1100.6162529077089</v>
      </c>
      <c r="E153" s="11">
        <f t="shared" si="26"/>
        <v>417.32927116067481</v>
      </c>
      <c r="F153" s="11">
        <f t="shared" si="27"/>
        <v>188259.74265587513</v>
      </c>
      <c r="H153" s="129">
        <f>IF(Principal!$D$25="Anual",IF(MOD(B153+1,12)=0,$W$2*((1+$W$3)^M153),0),$W$2*((1+$W$3)^M153)/12)</f>
        <v>377.02726003502488</v>
      </c>
      <c r="I153" s="68">
        <f t="shared" si="21"/>
        <v>2142.1447091034088</v>
      </c>
      <c r="J153" s="43">
        <f>SUM($I$14:I153)</f>
        <v>295794.20835234656</v>
      </c>
      <c r="K153" s="11">
        <f t="shared" si="22"/>
        <v>0</v>
      </c>
      <c r="L153" s="5">
        <f t="shared" si="23"/>
        <v>1894.9727841034087</v>
      </c>
      <c r="M153" s="10">
        <f t="shared" si="24"/>
        <v>11</v>
      </c>
      <c r="N153" s="189"/>
      <c r="O153" s="130">
        <f>IF(Principal!$D$30="Anual",IF(MOD(B153+1,12)=0,VLOOKUP(M153,'Flujos Anuales'!$B$8:$K$39,9),0),VLOOKUP(M153,'Flujos Anuales'!$B$8:$K$39,9)/12)</f>
        <v>340.36772354363552</v>
      </c>
      <c r="P153" s="120">
        <f>VLOOKUP(M153,'Flujos Anuales'!$B$8:$K$39,10)/12</f>
        <v>38.769475046619768</v>
      </c>
      <c r="Q153" s="120">
        <f t="shared" si="25"/>
        <v>2274.1099826936643</v>
      </c>
    </row>
    <row r="154" spans="2:17" x14ac:dyDescent="0.35">
      <c r="B154" s="10">
        <v>140</v>
      </c>
      <c r="C154" s="11">
        <f t="shared" si="19"/>
        <v>1517.9455240683837</v>
      </c>
      <c r="D154" s="11">
        <f t="shared" si="20"/>
        <v>1098.1818321592716</v>
      </c>
      <c r="E154" s="11">
        <f t="shared" si="26"/>
        <v>419.76369190911214</v>
      </c>
      <c r="F154" s="11">
        <f t="shared" si="27"/>
        <v>187839.97896396602</v>
      </c>
      <c r="H154" s="129">
        <f>IF(Principal!$D$25="Anual",IF(MOD(B154+1,12)=0,$W$2*((1+$W$3)^M154),0),$W$2*((1+$W$3)^M154)/12)</f>
        <v>377.02726003502488</v>
      </c>
      <c r="I154" s="68">
        <f t="shared" si="21"/>
        <v>2142.1447091034088</v>
      </c>
      <c r="J154" s="43">
        <f>SUM($I$14:I154)</f>
        <v>297936.35306144995</v>
      </c>
      <c r="K154" s="11">
        <f t="shared" si="22"/>
        <v>0</v>
      </c>
      <c r="L154" s="5">
        <f t="shared" si="23"/>
        <v>1894.9727841034087</v>
      </c>
      <c r="M154" s="10">
        <f t="shared" si="24"/>
        <v>11</v>
      </c>
      <c r="N154" s="189"/>
      <c r="O154" s="130">
        <f>IF(Principal!$D$30="Anual",IF(MOD(B154+1,12)=0,VLOOKUP(M154,'Flujos Anuales'!$B$8:$K$39,9),0),VLOOKUP(M154,'Flujos Anuales'!$B$8:$K$39,9)/12)</f>
        <v>340.36772354363552</v>
      </c>
      <c r="P154" s="120">
        <f>VLOOKUP(M154,'Flujos Anuales'!$B$8:$K$39,10)/12</f>
        <v>38.769475046619768</v>
      </c>
      <c r="Q154" s="120">
        <f t="shared" si="25"/>
        <v>2274.1099826936643</v>
      </c>
    </row>
    <row r="155" spans="2:17" x14ac:dyDescent="0.35">
      <c r="B155" s="10">
        <v>141</v>
      </c>
      <c r="C155" s="11">
        <f t="shared" si="19"/>
        <v>1517.9455240683837</v>
      </c>
      <c r="D155" s="11">
        <f t="shared" si="20"/>
        <v>1095.7332106231352</v>
      </c>
      <c r="E155" s="11">
        <f t="shared" si="26"/>
        <v>422.21231344524858</v>
      </c>
      <c r="F155" s="11">
        <f t="shared" si="27"/>
        <v>187417.76665052076</v>
      </c>
      <c r="H155" s="129">
        <f>IF(Principal!$D$25="Anual",IF(MOD(B155+1,12)=0,$W$2*((1+$W$3)^M155),0),$W$2*((1+$W$3)^M155)/12)</f>
        <v>377.02726003502488</v>
      </c>
      <c r="I155" s="68">
        <f t="shared" si="21"/>
        <v>2142.1447091034088</v>
      </c>
      <c r="J155" s="43">
        <f>SUM($I$14:I155)</f>
        <v>300078.49777055334</v>
      </c>
      <c r="K155" s="11">
        <f t="shared" si="22"/>
        <v>0</v>
      </c>
      <c r="L155" s="5">
        <f t="shared" si="23"/>
        <v>1894.9727841034087</v>
      </c>
      <c r="M155" s="10">
        <f t="shared" si="24"/>
        <v>11</v>
      </c>
      <c r="N155" s="189"/>
      <c r="O155" s="130">
        <f>IF(Principal!$D$30="Anual",IF(MOD(B155+1,12)=0,VLOOKUP(M155,'Flujos Anuales'!$B$8:$K$39,9),0),VLOOKUP(M155,'Flujos Anuales'!$B$8:$K$39,9)/12)</f>
        <v>340.36772354363552</v>
      </c>
      <c r="P155" s="120">
        <f>VLOOKUP(M155,'Flujos Anuales'!$B$8:$K$39,10)/12</f>
        <v>38.769475046619768</v>
      </c>
      <c r="Q155" s="120">
        <f t="shared" si="25"/>
        <v>2274.1099826936643</v>
      </c>
    </row>
    <row r="156" spans="2:17" x14ac:dyDescent="0.35">
      <c r="B156" s="10">
        <v>142</v>
      </c>
      <c r="C156" s="11">
        <f t="shared" si="19"/>
        <v>1517.9455240683837</v>
      </c>
      <c r="D156" s="11">
        <f t="shared" si="20"/>
        <v>1093.2703054613712</v>
      </c>
      <c r="E156" s="11">
        <f t="shared" si="26"/>
        <v>424.67521860701254</v>
      </c>
      <c r="F156" s="11">
        <f t="shared" si="27"/>
        <v>186993.09143191375</v>
      </c>
      <c r="H156" s="129">
        <f>IF(Principal!$D$25="Anual",IF(MOD(B156+1,12)=0,$W$2*((1+$W$3)^M156),0),$W$2*((1+$W$3)^M156)/12)</f>
        <v>377.02726003502488</v>
      </c>
      <c r="I156" s="68">
        <f t="shared" si="21"/>
        <v>2142.1447091034088</v>
      </c>
      <c r="J156" s="43">
        <f>SUM($I$14:I156)</f>
        <v>302220.64247965673</v>
      </c>
      <c r="K156" s="11">
        <f t="shared" si="22"/>
        <v>0</v>
      </c>
      <c r="L156" s="5">
        <f t="shared" si="23"/>
        <v>1894.9727841034087</v>
      </c>
      <c r="M156" s="10">
        <f t="shared" si="24"/>
        <v>11</v>
      </c>
      <c r="N156" s="189"/>
      <c r="O156" s="130">
        <f>IF(Principal!$D$30="Anual",IF(MOD(B156+1,12)=0,VLOOKUP(M156,'Flujos Anuales'!$B$8:$K$39,9),0),VLOOKUP(M156,'Flujos Anuales'!$B$8:$K$39,9)/12)</f>
        <v>340.36772354363552</v>
      </c>
      <c r="P156" s="120">
        <f>VLOOKUP(M156,'Flujos Anuales'!$B$8:$K$39,10)/12</f>
        <v>38.769475046619768</v>
      </c>
      <c r="Q156" s="120">
        <f t="shared" si="25"/>
        <v>2274.1099826936643</v>
      </c>
    </row>
    <row r="157" spans="2:17" x14ac:dyDescent="0.35">
      <c r="B157" s="10">
        <v>143</v>
      </c>
      <c r="C157" s="11">
        <f t="shared" si="19"/>
        <v>1517.9455240683837</v>
      </c>
      <c r="D157" s="11">
        <f t="shared" si="20"/>
        <v>1090.7930333528302</v>
      </c>
      <c r="E157" s="11">
        <f t="shared" si="26"/>
        <v>427.15249071555354</v>
      </c>
      <c r="F157" s="11">
        <f t="shared" si="27"/>
        <v>186565.9389411982</v>
      </c>
      <c r="H157" s="129">
        <f>IF(Principal!$D$25="Anual",IF(MOD(B157+1,12)=0,$W$2*((1+$W$3)^M157),0),$W$2*((1+$W$3)^M157)/12)</f>
        <v>377.02726003502488</v>
      </c>
      <c r="I157" s="68">
        <f t="shared" si="21"/>
        <v>2142.1447091034088</v>
      </c>
      <c r="J157" s="43">
        <f>SUM($I$14:I157)</f>
        <v>304362.78718876012</v>
      </c>
      <c r="K157" s="11">
        <f t="shared" si="22"/>
        <v>0</v>
      </c>
      <c r="L157" s="5">
        <f t="shared" si="23"/>
        <v>1894.9727841034087</v>
      </c>
      <c r="M157" s="10">
        <f t="shared" si="24"/>
        <v>11</v>
      </c>
      <c r="N157" s="189"/>
      <c r="O157" s="130">
        <f>IF(Principal!$D$30="Anual",IF(MOD(B157+1,12)=0,VLOOKUP(M157,'Flujos Anuales'!$B$8:$K$39,9),0),VLOOKUP(M157,'Flujos Anuales'!$B$8:$K$39,9)/12)</f>
        <v>340.36772354363552</v>
      </c>
      <c r="P157" s="120">
        <f>VLOOKUP(M157,'Flujos Anuales'!$B$8:$K$39,10)/12</f>
        <v>38.769475046619768</v>
      </c>
      <c r="Q157" s="120">
        <f t="shared" si="25"/>
        <v>2274.1099826936643</v>
      </c>
    </row>
    <row r="158" spans="2:17" x14ac:dyDescent="0.35">
      <c r="B158" s="10">
        <v>144</v>
      </c>
      <c r="C158" s="11">
        <f t="shared" si="19"/>
        <v>1517.9455240683837</v>
      </c>
      <c r="D158" s="11">
        <f t="shared" si="20"/>
        <v>1088.301310490323</v>
      </c>
      <c r="E158" s="11">
        <f t="shared" si="26"/>
        <v>429.64421357806077</v>
      </c>
      <c r="F158" s="11">
        <f t="shared" si="27"/>
        <v>186136.29472762014</v>
      </c>
      <c r="H158" s="129">
        <f>IF(Principal!$D$25="Anual",IF(MOD(B158+1,12)=0,$W$2*((1+$W$3)^M158),0),$W$2*((1+$W$3)^M158)/12)</f>
        <v>379.61671691436663</v>
      </c>
      <c r="I158" s="68">
        <f t="shared" si="21"/>
        <v>2144.7341659827503</v>
      </c>
      <c r="J158" s="43">
        <f>SUM($I$14:I158)</f>
        <v>306507.52135474287</v>
      </c>
      <c r="K158" s="11">
        <f t="shared" si="22"/>
        <v>0</v>
      </c>
      <c r="L158" s="5">
        <f t="shared" si="23"/>
        <v>1897.5622409827502</v>
      </c>
      <c r="M158" s="10">
        <f t="shared" si="24"/>
        <v>12</v>
      </c>
      <c r="N158" s="189">
        <f>SUM(L158:L169)</f>
        <v>22770.746891792995</v>
      </c>
      <c r="O158" s="130">
        <f>IF(Principal!$D$30="Anual",IF(MOD(B158+1,12)=0,VLOOKUP(M158,'Flujos Anuales'!$B$8:$K$39,9),0),VLOOKUP(M158,'Flujos Anuales'!$B$8:$K$39,9)/12)</f>
        <v>355.91397346786198</v>
      </c>
      <c r="P158" s="120">
        <f>VLOOKUP(M158,'Flujos Anuales'!$B$8:$K$39,10)/12</f>
        <v>39.157169797085963</v>
      </c>
      <c r="Q158" s="120">
        <f t="shared" si="25"/>
        <v>2292.6333842476979</v>
      </c>
    </row>
    <row r="159" spans="2:17" x14ac:dyDescent="0.35">
      <c r="B159" s="10">
        <v>145</v>
      </c>
      <c r="C159" s="11">
        <f t="shared" si="19"/>
        <v>1517.9455240683837</v>
      </c>
      <c r="D159" s="11">
        <f t="shared" si="20"/>
        <v>1085.7950525777842</v>
      </c>
      <c r="E159" s="11">
        <f t="shared" si="26"/>
        <v>432.15047149059956</v>
      </c>
      <c r="F159" s="11">
        <f t="shared" si="27"/>
        <v>185704.14425612954</v>
      </c>
      <c r="H159" s="129">
        <f>IF(Principal!$D$25="Anual",IF(MOD(B159+1,12)=0,$W$2*((1+$W$3)^M159),0),$W$2*((1+$W$3)^M159)/12)</f>
        <v>379.61671691436663</v>
      </c>
      <c r="I159" s="68">
        <f t="shared" si="21"/>
        <v>2144.7341659827503</v>
      </c>
      <c r="J159" s="43">
        <f>SUM($I$14:I159)</f>
        <v>308652.25552072562</v>
      </c>
      <c r="K159" s="11">
        <f t="shared" si="22"/>
        <v>0</v>
      </c>
      <c r="L159" s="5">
        <f t="shared" si="23"/>
        <v>1897.5622409827502</v>
      </c>
      <c r="M159" s="10">
        <f t="shared" si="24"/>
        <v>12</v>
      </c>
      <c r="N159" s="189"/>
      <c r="O159" s="130">
        <f>IF(Principal!$D$30="Anual",IF(MOD(B159+1,12)=0,VLOOKUP(M159,'Flujos Anuales'!$B$8:$K$39,9),0),VLOOKUP(M159,'Flujos Anuales'!$B$8:$K$39,9)/12)</f>
        <v>355.91397346786198</v>
      </c>
      <c r="P159" s="120">
        <f>VLOOKUP(M159,'Flujos Anuales'!$B$8:$K$39,10)/12</f>
        <v>39.157169797085963</v>
      </c>
      <c r="Q159" s="120">
        <f t="shared" si="25"/>
        <v>2292.6333842476979</v>
      </c>
    </row>
    <row r="160" spans="2:17" x14ac:dyDescent="0.35">
      <c r="B160" s="10">
        <v>146</v>
      </c>
      <c r="C160" s="11">
        <f t="shared" si="19"/>
        <v>1517.9455240683837</v>
      </c>
      <c r="D160" s="11">
        <f t="shared" si="20"/>
        <v>1083.2741748274223</v>
      </c>
      <c r="E160" s="11">
        <f t="shared" si="26"/>
        <v>434.67134924096149</v>
      </c>
      <c r="F160" s="11">
        <f t="shared" si="27"/>
        <v>185269.47290688858</v>
      </c>
      <c r="H160" s="129">
        <f>IF(Principal!$D$25="Anual",IF(MOD(B160+1,12)=0,$W$2*((1+$W$3)^M160),0),$W$2*((1+$W$3)^M160)/12)</f>
        <v>379.61671691436663</v>
      </c>
      <c r="I160" s="68">
        <f t="shared" si="21"/>
        <v>2144.7341659827503</v>
      </c>
      <c r="J160" s="43">
        <f>SUM($I$14:I160)</f>
        <v>310796.98968670837</v>
      </c>
      <c r="K160" s="11">
        <f t="shared" si="22"/>
        <v>0</v>
      </c>
      <c r="L160" s="5">
        <f t="shared" si="23"/>
        <v>1897.5622409827502</v>
      </c>
      <c r="M160" s="10">
        <f t="shared" si="24"/>
        <v>12</v>
      </c>
      <c r="N160" s="189"/>
      <c r="O160" s="130">
        <f>IF(Principal!$D$30="Anual",IF(MOD(B160+1,12)=0,VLOOKUP(M160,'Flujos Anuales'!$B$8:$K$39,9),0),VLOOKUP(M160,'Flujos Anuales'!$B$8:$K$39,9)/12)</f>
        <v>355.91397346786198</v>
      </c>
      <c r="P160" s="120">
        <f>VLOOKUP(M160,'Flujos Anuales'!$B$8:$K$39,10)/12</f>
        <v>39.157169797085963</v>
      </c>
      <c r="Q160" s="120">
        <f t="shared" si="25"/>
        <v>2292.6333842476979</v>
      </c>
    </row>
    <row r="161" spans="2:17" x14ac:dyDescent="0.35">
      <c r="B161" s="10">
        <v>147</v>
      </c>
      <c r="C161" s="11">
        <f t="shared" si="19"/>
        <v>1517.9455240683837</v>
      </c>
      <c r="D161" s="11">
        <f t="shared" si="20"/>
        <v>1080.7385919568501</v>
      </c>
      <c r="E161" s="11">
        <f t="shared" si="26"/>
        <v>437.20693211153366</v>
      </c>
      <c r="F161" s="11">
        <f t="shared" si="27"/>
        <v>184832.26597477705</v>
      </c>
      <c r="H161" s="129">
        <f>IF(Principal!$D$25="Anual",IF(MOD(B161+1,12)=0,$W$2*((1+$W$3)^M161),0),$W$2*((1+$W$3)^M161)/12)</f>
        <v>379.61671691436663</v>
      </c>
      <c r="I161" s="68">
        <f t="shared" si="21"/>
        <v>2144.7341659827503</v>
      </c>
      <c r="J161" s="43">
        <f>SUM($I$14:I161)</f>
        <v>312941.72385269112</v>
      </c>
      <c r="K161" s="11">
        <f t="shared" si="22"/>
        <v>0</v>
      </c>
      <c r="L161" s="5">
        <f t="shared" si="23"/>
        <v>1897.5622409827502</v>
      </c>
      <c r="M161" s="10">
        <f t="shared" si="24"/>
        <v>12</v>
      </c>
      <c r="N161" s="189"/>
      <c r="O161" s="130">
        <f>IF(Principal!$D$30="Anual",IF(MOD(B161+1,12)=0,VLOOKUP(M161,'Flujos Anuales'!$B$8:$K$39,9),0),VLOOKUP(M161,'Flujos Anuales'!$B$8:$K$39,9)/12)</f>
        <v>355.91397346786198</v>
      </c>
      <c r="P161" s="120">
        <f>VLOOKUP(M161,'Flujos Anuales'!$B$8:$K$39,10)/12</f>
        <v>39.157169797085963</v>
      </c>
      <c r="Q161" s="120">
        <f t="shared" si="25"/>
        <v>2292.6333842476979</v>
      </c>
    </row>
    <row r="162" spans="2:17" x14ac:dyDescent="0.35">
      <c r="B162" s="10">
        <v>148</v>
      </c>
      <c r="C162" s="11">
        <f t="shared" si="19"/>
        <v>1517.9455240683837</v>
      </c>
      <c r="D162" s="11">
        <f t="shared" si="20"/>
        <v>1078.1882181861995</v>
      </c>
      <c r="E162" s="11">
        <f t="shared" si="26"/>
        <v>439.75730588218426</v>
      </c>
      <c r="F162" s="11">
        <f t="shared" si="27"/>
        <v>184392.50866889488</v>
      </c>
      <c r="H162" s="129">
        <f>IF(Principal!$D$25="Anual",IF(MOD(B162+1,12)=0,$W$2*((1+$W$3)^M162),0),$W$2*((1+$W$3)^M162)/12)</f>
        <v>379.61671691436663</v>
      </c>
      <c r="I162" s="68">
        <f t="shared" si="21"/>
        <v>2144.7341659827503</v>
      </c>
      <c r="J162" s="43">
        <f>SUM($I$14:I162)</f>
        <v>315086.45801867387</v>
      </c>
      <c r="K162" s="11">
        <f t="shared" si="22"/>
        <v>0</v>
      </c>
      <c r="L162" s="5">
        <f t="shared" si="23"/>
        <v>1897.5622409827502</v>
      </c>
      <c r="M162" s="10">
        <f t="shared" si="24"/>
        <v>12</v>
      </c>
      <c r="N162" s="189"/>
      <c r="O162" s="130">
        <f>IF(Principal!$D$30="Anual",IF(MOD(B162+1,12)=0,VLOOKUP(M162,'Flujos Anuales'!$B$8:$K$39,9),0),VLOOKUP(M162,'Flujos Anuales'!$B$8:$K$39,9)/12)</f>
        <v>355.91397346786198</v>
      </c>
      <c r="P162" s="120">
        <f>VLOOKUP(M162,'Flujos Anuales'!$B$8:$K$39,10)/12</f>
        <v>39.157169797085963</v>
      </c>
      <c r="Q162" s="120">
        <f t="shared" si="25"/>
        <v>2292.6333842476979</v>
      </c>
    </row>
    <row r="163" spans="2:17" x14ac:dyDescent="0.35">
      <c r="B163" s="10">
        <v>149</v>
      </c>
      <c r="C163" s="11">
        <f t="shared" si="19"/>
        <v>1517.9455240683837</v>
      </c>
      <c r="D163" s="11">
        <f t="shared" si="20"/>
        <v>1075.6229672352201</v>
      </c>
      <c r="E163" s="11">
        <f t="shared" si="26"/>
        <v>442.32255683316362</v>
      </c>
      <c r="F163" s="11">
        <f t="shared" si="27"/>
        <v>183950.18611206172</v>
      </c>
      <c r="H163" s="129">
        <f>IF(Principal!$D$25="Anual",IF(MOD(B163+1,12)=0,$W$2*((1+$W$3)^M163),0),$W$2*((1+$W$3)^M163)/12)</f>
        <v>379.61671691436663</v>
      </c>
      <c r="I163" s="68">
        <f t="shared" si="21"/>
        <v>2144.7341659827503</v>
      </c>
      <c r="J163" s="43">
        <f>SUM($I$14:I163)</f>
        <v>317231.19218465663</v>
      </c>
      <c r="K163" s="11">
        <f t="shared" si="22"/>
        <v>0</v>
      </c>
      <c r="L163" s="5">
        <f t="shared" si="23"/>
        <v>1897.5622409827502</v>
      </c>
      <c r="M163" s="10">
        <f t="shared" si="24"/>
        <v>12</v>
      </c>
      <c r="N163" s="189"/>
      <c r="O163" s="130">
        <f>IF(Principal!$D$30="Anual",IF(MOD(B163+1,12)=0,VLOOKUP(M163,'Flujos Anuales'!$B$8:$K$39,9),0),VLOOKUP(M163,'Flujos Anuales'!$B$8:$K$39,9)/12)</f>
        <v>355.91397346786198</v>
      </c>
      <c r="P163" s="120">
        <f>VLOOKUP(M163,'Flujos Anuales'!$B$8:$K$39,10)/12</f>
        <v>39.157169797085963</v>
      </c>
      <c r="Q163" s="120">
        <f t="shared" si="25"/>
        <v>2292.6333842476979</v>
      </c>
    </row>
    <row r="164" spans="2:17" x14ac:dyDescent="0.35">
      <c r="B164" s="10">
        <v>150</v>
      </c>
      <c r="C164" s="11">
        <f t="shared" si="19"/>
        <v>1517.9455240683837</v>
      </c>
      <c r="D164" s="11">
        <f t="shared" si="20"/>
        <v>1073.04275232036</v>
      </c>
      <c r="E164" s="11">
        <f t="shared" si="26"/>
        <v>444.90277174802372</v>
      </c>
      <c r="F164" s="11">
        <f t="shared" si="27"/>
        <v>183505.2833403137</v>
      </c>
      <c r="H164" s="129">
        <f>IF(Principal!$D$25="Anual",IF(MOD(B164+1,12)=0,$W$2*((1+$W$3)^M164),0),$W$2*((1+$W$3)^M164)/12)</f>
        <v>379.61671691436663</v>
      </c>
      <c r="I164" s="68">
        <f t="shared" si="21"/>
        <v>2144.7341659827503</v>
      </c>
      <c r="J164" s="43">
        <f>SUM($I$14:I164)</f>
        <v>319375.92635063938</v>
      </c>
      <c r="K164" s="11">
        <f t="shared" si="22"/>
        <v>0</v>
      </c>
      <c r="L164" s="5">
        <f t="shared" si="23"/>
        <v>1897.5622409827502</v>
      </c>
      <c r="M164" s="10">
        <f t="shared" si="24"/>
        <v>12</v>
      </c>
      <c r="N164" s="189"/>
      <c r="O164" s="130">
        <f>IF(Principal!$D$30="Anual",IF(MOD(B164+1,12)=0,VLOOKUP(M164,'Flujos Anuales'!$B$8:$K$39,9),0),VLOOKUP(M164,'Flujos Anuales'!$B$8:$K$39,9)/12)</f>
        <v>355.91397346786198</v>
      </c>
      <c r="P164" s="120">
        <f>VLOOKUP(M164,'Flujos Anuales'!$B$8:$K$39,10)/12</f>
        <v>39.157169797085963</v>
      </c>
      <c r="Q164" s="120">
        <f t="shared" si="25"/>
        <v>2292.6333842476979</v>
      </c>
    </row>
    <row r="165" spans="2:17" x14ac:dyDescent="0.35">
      <c r="B165" s="10">
        <v>151</v>
      </c>
      <c r="C165" s="11">
        <f t="shared" si="19"/>
        <v>1517.9455240683837</v>
      </c>
      <c r="D165" s="11">
        <f t="shared" si="20"/>
        <v>1070.4474861518299</v>
      </c>
      <c r="E165" s="11">
        <f t="shared" si="26"/>
        <v>447.49803791655381</v>
      </c>
      <c r="F165" s="11">
        <f t="shared" si="27"/>
        <v>183057.78530239715</v>
      </c>
      <c r="H165" s="129">
        <f>IF(Principal!$D$25="Anual",IF(MOD(B165+1,12)=0,$W$2*((1+$W$3)^M165),0),$W$2*((1+$W$3)^M165)/12)</f>
        <v>379.61671691436663</v>
      </c>
      <c r="I165" s="68">
        <f t="shared" si="21"/>
        <v>2144.7341659827503</v>
      </c>
      <c r="J165" s="43">
        <f>SUM($I$14:I165)</f>
        <v>321520.66051662213</v>
      </c>
      <c r="K165" s="11">
        <f t="shared" si="22"/>
        <v>0</v>
      </c>
      <c r="L165" s="5">
        <f t="shared" si="23"/>
        <v>1897.5622409827502</v>
      </c>
      <c r="M165" s="10">
        <f t="shared" si="24"/>
        <v>12</v>
      </c>
      <c r="N165" s="189"/>
      <c r="O165" s="130">
        <f>IF(Principal!$D$30="Anual",IF(MOD(B165+1,12)=0,VLOOKUP(M165,'Flujos Anuales'!$B$8:$K$39,9),0),VLOOKUP(M165,'Flujos Anuales'!$B$8:$K$39,9)/12)</f>
        <v>355.91397346786198</v>
      </c>
      <c r="P165" s="120">
        <f>VLOOKUP(M165,'Flujos Anuales'!$B$8:$K$39,10)/12</f>
        <v>39.157169797085963</v>
      </c>
      <c r="Q165" s="120">
        <f t="shared" si="25"/>
        <v>2292.6333842476979</v>
      </c>
    </row>
    <row r="166" spans="2:17" x14ac:dyDescent="0.35">
      <c r="B166" s="10">
        <v>152</v>
      </c>
      <c r="C166" s="11">
        <f t="shared" si="19"/>
        <v>1517.9455240683837</v>
      </c>
      <c r="D166" s="11">
        <f t="shared" si="20"/>
        <v>1067.83708093065</v>
      </c>
      <c r="E166" s="11">
        <f t="shared" si="26"/>
        <v>450.10844313773373</v>
      </c>
      <c r="F166" s="11">
        <f t="shared" si="27"/>
        <v>182607.67685925943</v>
      </c>
      <c r="H166" s="129">
        <f>IF(Principal!$D$25="Anual",IF(MOD(B166+1,12)=0,$W$2*((1+$W$3)^M166),0),$W$2*((1+$W$3)^M166)/12)</f>
        <v>379.61671691436663</v>
      </c>
      <c r="I166" s="68">
        <f t="shared" si="21"/>
        <v>2144.7341659827503</v>
      </c>
      <c r="J166" s="43">
        <f>SUM($I$14:I166)</f>
        <v>323665.39468260488</v>
      </c>
      <c r="K166" s="11">
        <f t="shared" si="22"/>
        <v>0</v>
      </c>
      <c r="L166" s="5">
        <f t="shared" si="23"/>
        <v>1897.5622409827502</v>
      </c>
      <c r="M166" s="10">
        <f t="shared" si="24"/>
        <v>12</v>
      </c>
      <c r="N166" s="189"/>
      <c r="O166" s="130">
        <f>IF(Principal!$D$30="Anual",IF(MOD(B166+1,12)=0,VLOOKUP(M166,'Flujos Anuales'!$B$8:$K$39,9),0),VLOOKUP(M166,'Flujos Anuales'!$B$8:$K$39,9)/12)</f>
        <v>355.91397346786198</v>
      </c>
      <c r="P166" s="120">
        <f>VLOOKUP(M166,'Flujos Anuales'!$B$8:$K$39,10)/12</f>
        <v>39.157169797085963</v>
      </c>
      <c r="Q166" s="120">
        <f t="shared" si="25"/>
        <v>2292.6333842476979</v>
      </c>
    </row>
    <row r="167" spans="2:17" x14ac:dyDescent="0.35">
      <c r="B167" s="10">
        <v>153</v>
      </c>
      <c r="C167" s="11">
        <f t="shared" si="19"/>
        <v>1517.9455240683837</v>
      </c>
      <c r="D167" s="11">
        <f t="shared" si="20"/>
        <v>1065.2114483456801</v>
      </c>
      <c r="E167" s="11">
        <f t="shared" si="26"/>
        <v>452.73407572270366</v>
      </c>
      <c r="F167" s="11">
        <f t="shared" si="27"/>
        <v>182154.94278353674</v>
      </c>
      <c r="H167" s="129">
        <f>IF(Principal!$D$25="Anual",IF(MOD(B167+1,12)=0,$W$2*((1+$W$3)^M167),0),$W$2*((1+$W$3)^M167)/12)</f>
        <v>379.61671691436663</v>
      </c>
      <c r="I167" s="68">
        <f t="shared" si="21"/>
        <v>2144.7341659827503</v>
      </c>
      <c r="J167" s="43">
        <f>SUM($I$14:I167)</f>
        <v>325810.12884858763</v>
      </c>
      <c r="K167" s="11">
        <f t="shared" si="22"/>
        <v>0</v>
      </c>
      <c r="L167" s="5">
        <f t="shared" si="23"/>
        <v>1897.5622409827502</v>
      </c>
      <c r="M167" s="10">
        <f t="shared" si="24"/>
        <v>12</v>
      </c>
      <c r="N167" s="189"/>
      <c r="O167" s="130">
        <f>IF(Principal!$D$30="Anual",IF(MOD(B167+1,12)=0,VLOOKUP(M167,'Flujos Anuales'!$B$8:$K$39,9),0),VLOOKUP(M167,'Flujos Anuales'!$B$8:$K$39,9)/12)</f>
        <v>355.91397346786198</v>
      </c>
      <c r="P167" s="120">
        <f>VLOOKUP(M167,'Flujos Anuales'!$B$8:$K$39,10)/12</f>
        <v>39.157169797085963</v>
      </c>
      <c r="Q167" s="120">
        <f t="shared" si="25"/>
        <v>2292.6333842476979</v>
      </c>
    </row>
    <row r="168" spans="2:17" x14ac:dyDescent="0.35">
      <c r="B168" s="10">
        <v>154</v>
      </c>
      <c r="C168" s="11">
        <f t="shared" si="19"/>
        <v>1517.9455240683837</v>
      </c>
      <c r="D168" s="11">
        <f t="shared" si="20"/>
        <v>1062.570499570631</v>
      </c>
      <c r="E168" s="11">
        <f t="shared" si="26"/>
        <v>455.37502449775275</v>
      </c>
      <c r="F168" s="11">
        <f t="shared" si="27"/>
        <v>181699.567759039</v>
      </c>
      <c r="H168" s="129">
        <f>IF(Principal!$D$25="Anual",IF(MOD(B168+1,12)=0,$W$2*((1+$W$3)^M168),0),$W$2*((1+$W$3)^M168)/12)</f>
        <v>379.61671691436663</v>
      </c>
      <c r="I168" s="68">
        <f t="shared" si="21"/>
        <v>2144.7341659827503</v>
      </c>
      <c r="J168" s="43">
        <f>SUM($I$14:I168)</f>
        <v>327954.86301457038</v>
      </c>
      <c r="K168" s="11">
        <f t="shared" si="22"/>
        <v>0</v>
      </c>
      <c r="L168" s="5">
        <f t="shared" si="23"/>
        <v>1897.5622409827502</v>
      </c>
      <c r="M168" s="10">
        <f t="shared" si="24"/>
        <v>12</v>
      </c>
      <c r="N168" s="189"/>
      <c r="O168" s="130">
        <f>IF(Principal!$D$30="Anual",IF(MOD(B168+1,12)=0,VLOOKUP(M168,'Flujos Anuales'!$B$8:$K$39,9),0),VLOOKUP(M168,'Flujos Anuales'!$B$8:$K$39,9)/12)</f>
        <v>355.91397346786198</v>
      </c>
      <c r="P168" s="120">
        <f>VLOOKUP(M168,'Flujos Anuales'!$B$8:$K$39,10)/12</f>
        <v>39.157169797085963</v>
      </c>
      <c r="Q168" s="120">
        <f t="shared" si="25"/>
        <v>2292.6333842476979</v>
      </c>
    </row>
    <row r="169" spans="2:17" x14ac:dyDescent="0.35">
      <c r="B169" s="10">
        <v>155</v>
      </c>
      <c r="C169" s="11">
        <f t="shared" si="19"/>
        <v>1517.9455240683837</v>
      </c>
      <c r="D169" s="11">
        <f t="shared" si="20"/>
        <v>1059.9141452610609</v>
      </c>
      <c r="E169" s="11">
        <f t="shared" si="26"/>
        <v>458.03137880732288</v>
      </c>
      <c r="F169" s="11">
        <f t="shared" si="27"/>
        <v>181241.53638023167</v>
      </c>
      <c r="H169" s="129">
        <f>IF(Principal!$D$25="Anual",IF(MOD(B169+1,12)=0,$W$2*((1+$W$3)^M169),0),$W$2*((1+$W$3)^M169)/12)</f>
        <v>379.61671691436663</v>
      </c>
      <c r="I169" s="68">
        <f t="shared" si="21"/>
        <v>2144.7341659827503</v>
      </c>
      <c r="J169" s="43">
        <f>SUM($I$14:I169)</f>
        <v>330099.59718055313</v>
      </c>
      <c r="K169" s="11">
        <f t="shared" si="22"/>
        <v>0</v>
      </c>
      <c r="L169" s="5">
        <f t="shared" si="23"/>
        <v>1897.5622409827502</v>
      </c>
      <c r="M169" s="10">
        <f t="shared" si="24"/>
        <v>12</v>
      </c>
      <c r="N169" s="189"/>
      <c r="O169" s="130">
        <f>IF(Principal!$D$30="Anual",IF(MOD(B169+1,12)=0,VLOOKUP(M169,'Flujos Anuales'!$B$8:$K$39,9),0),VLOOKUP(M169,'Flujos Anuales'!$B$8:$K$39,9)/12)</f>
        <v>355.91397346786198</v>
      </c>
      <c r="P169" s="120">
        <f>VLOOKUP(M169,'Flujos Anuales'!$B$8:$K$39,10)/12</f>
        <v>39.157169797085963</v>
      </c>
      <c r="Q169" s="120">
        <f t="shared" si="25"/>
        <v>2292.6333842476979</v>
      </c>
    </row>
    <row r="170" spans="2:17" x14ac:dyDescent="0.35">
      <c r="B170" s="10">
        <v>156</v>
      </c>
      <c r="C170" s="11">
        <f t="shared" si="19"/>
        <v>1517.9455240683837</v>
      </c>
      <c r="D170" s="11">
        <f t="shared" si="20"/>
        <v>1057.2422955513514</v>
      </c>
      <c r="E170" s="11">
        <f t="shared" si="26"/>
        <v>460.70322851703236</v>
      </c>
      <c r="F170" s="11">
        <f t="shared" si="27"/>
        <v>180780.83315171464</v>
      </c>
      <c r="H170" s="129">
        <f>IF(Principal!$D$25="Anual",IF(MOD(B170+1,12)=0,$W$2*((1+$W$3)^M170),0),$W$2*((1+$W$3)^M170)/12)</f>
        <v>382.22395841471803</v>
      </c>
      <c r="I170" s="68">
        <f t="shared" si="21"/>
        <v>2147.3414074831016</v>
      </c>
      <c r="J170" s="43">
        <f>SUM($I$14:I170)</f>
        <v>332246.93858803622</v>
      </c>
      <c r="K170" s="11">
        <f t="shared" si="22"/>
        <v>0</v>
      </c>
      <c r="L170" s="5">
        <f t="shared" si="23"/>
        <v>1900.1694824831015</v>
      </c>
      <c r="M170" s="10">
        <f t="shared" si="24"/>
        <v>13</v>
      </c>
      <c r="N170" s="189">
        <f>SUM(L170:L181)</f>
        <v>22802.03378979722</v>
      </c>
      <c r="O170" s="130">
        <f>IF(Principal!$D$30="Anual",IF(MOD(B170+1,12)=0,VLOOKUP(M170,'Flujos Anuales'!$B$8:$K$39,9),0),VLOOKUP(M170,'Flujos Anuales'!$B$8:$K$39,9)/12)</f>
        <v>372.17029626324739</v>
      </c>
      <c r="P170" s="120">
        <f>VLOOKUP(M170,'Flujos Anuales'!$B$8:$K$39,10)/12</f>
        <v>39.548741495056824</v>
      </c>
      <c r="Q170" s="120">
        <f t="shared" si="25"/>
        <v>2311.8885202414058</v>
      </c>
    </row>
    <row r="171" spans="2:17" x14ac:dyDescent="0.35">
      <c r="B171" s="10">
        <v>157</v>
      </c>
      <c r="C171" s="11">
        <f t="shared" si="19"/>
        <v>1517.9455240683837</v>
      </c>
      <c r="D171" s="11">
        <f t="shared" si="20"/>
        <v>1054.5548600516688</v>
      </c>
      <c r="E171" s="11">
        <f t="shared" si="26"/>
        <v>463.39066401671494</v>
      </c>
      <c r="F171" s="11">
        <f t="shared" si="27"/>
        <v>180317.44248769793</v>
      </c>
      <c r="H171" s="129">
        <f>IF(Principal!$D$25="Anual",IF(MOD(B171+1,12)=0,$W$2*((1+$W$3)^M171),0),$W$2*((1+$W$3)^M171)/12)</f>
        <v>382.22395841471803</v>
      </c>
      <c r="I171" s="68">
        <f t="shared" si="21"/>
        <v>2147.3414074831016</v>
      </c>
      <c r="J171" s="43">
        <f>SUM($I$14:I171)</f>
        <v>334394.27999551932</v>
      </c>
      <c r="K171" s="11">
        <f t="shared" si="22"/>
        <v>0</v>
      </c>
      <c r="L171" s="5">
        <f t="shared" si="23"/>
        <v>1900.1694824831015</v>
      </c>
      <c r="M171" s="10">
        <f t="shared" si="24"/>
        <v>13</v>
      </c>
      <c r="N171" s="189"/>
      <c r="O171" s="130">
        <f>IF(Principal!$D$30="Anual",IF(MOD(B171+1,12)=0,VLOOKUP(M171,'Flujos Anuales'!$B$8:$K$39,9),0),VLOOKUP(M171,'Flujos Anuales'!$B$8:$K$39,9)/12)</f>
        <v>372.17029626324739</v>
      </c>
      <c r="P171" s="120">
        <f>VLOOKUP(M171,'Flujos Anuales'!$B$8:$K$39,10)/12</f>
        <v>39.548741495056824</v>
      </c>
      <c r="Q171" s="120">
        <f t="shared" si="25"/>
        <v>2311.8885202414058</v>
      </c>
    </row>
    <row r="172" spans="2:17" x14ac:dyDescent="0.35">
      <c r="B172" s="10">
        <v>158</v>
      </c>
      <c r="C172" s="11">
        <f t="shared" si="19"/>
        <v>1517.9455240683837</v>
      </c>
      <c r="D172" s="11">
        <f t="shared" si="20"/>
        <v>1051.8517478449046</v>
      </c>
      <c r="E172" s="11">
        <f t="shared" si="26"/>
        <v>466.09377622347915</v>
      </c>
      <c r="F172" s="11">
        <f t="shared" si="27"/>
        <v>179851.34871147445</v>
      </c>
      <c r="H172" s="129">
        <f>IF(Principal!$D$25="Anual",IF(MOD(B172+1,12)=0,$W$2*((1+$W$3)^M172),0),$W$2*((1+$W$3)^M172)/12)</f>
        <v>382.22395841471803</v>
      </c>
      <c r="I172" s="68">
        <f t="shared" si="21"/>
        <v>2147.3414074831016</v>
      </c>
      <c r="J172" s="43">
        <f>SUM($I$14:I172)</f>
        <v>336541.62140300241</v>
      </c>
      <c r="K172" s="11">
        <f t="shared" si="22"/>
        <v>0</v>
      </c>
      <c r="L172" s="5">
        <f t="shared" si="23"/>
        <v>1900.1694824831015</v>
      </c>
      <c r="M172" s="10">
        <f t="shared" si="24"/>
        <v>13</v>
      </c>
      <c r="N172" s="189"/>
      <c r="O172" s="130">
        <f>IF(Principal!$D$30="Anual",IF(MOD(B172+1,12)=0,VLOOKUP(M172,'Flujos Anuales'!$B$8:$K$39,9),0),VLOOKUP(M172,'Flujos Anuales'!$B$8:$K$39,9)/12)</f>
        <v>372.17029626324739</v>
      </c>
      <c r="P172" s="120">
        <f>VLOOKUP(M172,'Flujos Anuales'!$B$8:$K$39,10)/12</f>
        <v>39.548741495056824</v>
      </c>
      <c r="Q172" s="120">
        <f t="shared" si="25"/>
        <v>2311.8885202414058</v>
      </c>
    </row>
    <row r="173" spans="2:17" x14ac:dyDescent="0.35">
      <c r="B173" s="10">
        <v>159</v>
      </c>
      <c r="C173" s="11">
        <f t="shared" si="19"/>
        <v>1517.9455240683837</v>
      </c>
      <c r="D173" s="11">
        <f t="shared" si="20"/>
        <v>1049.1328674836011</v>
      </c>
      <c r="E173" s="11">
        <f t="shared" si="26"/>
        <v>468.81265658478264</v>
      </c>
      <c r="F173" s="11">
        <f t="shared" si="27"/>
        <v>179382.53605488967</v>
      </c>
      <c r="H173" s="129">
        <f>IF(Principal!$D$25="Anual",IF(MOD(B173+1,12)=0,$W$2*((1+$W$3)^M173),0),$W$2*((1+$W$3)^M173)/12)</f>
        <v>382.22395841471803</v>
      </c>
      <c r="I173" s="68">
        <f t="shared" si="21"/>
        <v>2147.3414074831016</v>
      </c>
      <c r="J173" s="43">
        <f>SUM($I$14:I173)</f>
        <v>338688.96281048551</v>
      </c>
      <c r="K173" s="11">
        <f t="shared" si="22"/>
        <v>0</v>
      </c>
      <c r="L173" s="5">
        <f t="shared" si="23"/>
        <v>1900.1694824831015</v>
      </c>
      <c r="M173" s="10">
        <f t="shared" si="24"/>
        <v>13</v>
      </c>
      <c r="N173" s="189"/>
      <c r="O173" s="130">
        <f>IF(Principal!$D$30="Anual",IF(MOD(B173+1,12)=0,VLOOKUP(M173,'Flujos Anuales'!$B$8:$K$39,9),0),VLOOKUP(M173,'Flujos Anuales'!$B$8:$K$39,9)/12)</f>
        <v>372.17029626324739</v>
      </c>
      <c r="P173" s="120">
        <f>VLOOKUP(M173,'Flujos Anuales'!$B$8:$K$39,10)/12</f>
        <v>39.548741495056824</v>
      </c>
      <c r="Q173" s="120">
        <f t="shared" si="25"/>
        <v>2311.8885202414058</v>
      </c>
    </row>
    <row r="174" spans="2:17" x14ac:dyDescent="0.35">
      <c r="B174" s="10">
        <v>160</v>
      </c>
      <c r="C174" s="11">
        <f t="shared" si="19"/>
        <v>1517.9455240683837</v>
      </c>
      <c r="D174" s="11">
        <f t="shared" si="20"/>
        <v>1046.3981269868564</v>
      </c>
      <c r="E174" s="11">
        <f t="shared" si="26"/>
        <v>471.54739708152738</v>
      </c>
      <c r="F174" s="11">
        <f t="shared" si="27"/>
        <v>178910.98865780814</v>
      </c>
      <c r="H174" s="129">
        <f>IF(Principal!$D$25="Anual",IF(MOD(B174+1,12)=0,$W$2*((1+$W$3)^M174),0),$W$2*((1+$W$3)^M174)/12)</f>
        <v>382.22395841471803</v>
      </c>
      <c r="I174" s="68">
        <f t="shared" si="21"/>
        <v>2147.3414074831016</v>
      </c>
      <c r="J174" s="43">
        <f>SUM($I$14:I174)</f>
        <v>340836.3042179686</v>
      </c>
      <c r="K174" s="11">
        <f t="shared" si="22"/>
        <v>0</v>
      </c>
      <c r="L174" s="5">
        <f t="shared" si="23"/>
        <v>1900.1694824831015</v>
      </c>
      <c r="M174" s="10">
        <f t="shared" si="24"/>
        <v>13</v>
      </c>
      <c r="N174" s="189"/>
      <c r="O174" s="130">
        <f>IF(Principal!$D$30="Anual",IF(MOD(B174+1,12)=0,VLOOKUP(M174,'Flujos Anuales'!$B$8:$K$39,9),0),VLOOKUP(M174,'Flujos Anuales'!$B$8:$K$39,9)/12)</f>
        <v>372.17029626324739</v>
      </c>
      <c r="P174" s="120">
        <f>VLOOKUP(M174,'Flujos Anuales'!$B$8:$K$39,10)/12</f>
        <v>39.548741495056824</v>
      </c>
      <c r="Q174" s="120">
        <f t="shared" si="25"/>
        <v>2311.8885202414058</v>
      </c>
    </row>
    <row r="175" spans="2:17" x14ac:dyDescent="0.35">
      <c r="B175" s="10">
        <v>161</v>
      </c>
      <c r="C175" s="11">
        <f t="shared" si="19"/>
        <v>1517.9455240683837</v>
      </c>
      <c r="D175" s="11">
        <f t="shared" si="20"/>
        <v>1043.6474338372141</v>
      </c>
      <c r="E175" s="11">
        <f t="shared" si="26"/>
        <v>474.29809023116968</v>
      </c>
      <c r="F175" s="11">
        <f t="shared" si="27"/>
        <v>178436.69056757697</v>
      </c>
      <c r="H175" s="129">
        <f>IF(Principal!$D$25="Anual",IF(MOD(B175+1,12)=0,$W$2*((1+$W$3)^M175),0),$W$2*((1+$W$3)^M175)/12)</f>
        <v>382.22395841471803</v>
      </c>
      <c r="I175" s="68">
        <f t="shared" si="21"/>
        <v>2147.3414074831016</v>
      </c>
      <c r="J175" s="43">
        <f>SUM($I$14:I175)</f>
        <v>342983.6456254517</v>
      </c>
      <c r="K175" s="11">
        <f t="shared" si="22"/>
        <v>0</v>
      </c>
      <c r="L175" s="5">
        <f t="shared" si="23"/>
        <v>1900.1694824831015</v>
      </c>
      <c r="M175" s="10">
        <f t="shared" si="24"/>
        <v>13</v>
      </c>
      <c r="N175" s="189"/>
      <c r="O175" s="130">
        <f>IF(Principal!$D$30="Anual",IF(MOD(B175+1,12)=0,VLOOKUP(M175,'Flujos Anuales'!$B$8:$K$39,9),0),VLOOKUP(M175,'Flujos Anuales'!$B$8:$K$39,9)/12)</f>
        <v>372.17029626324739</v>
      </c>
      <c r="P175" s="120">
        <f>VLOOKUP(M175,'Flujos Anuales'!$B$8:$K$39,10)/12</f>
        <v>39.548741495056824</v>
      </c>
      <c r="Q175" s="120">
        <f t="shared" si="25"/>
        <v>2311.8885202414058</v>
      </c>
    </row>
    <row r="176" spans="2:17" x14ac:dyDescent="0.35">
      <c r="B176" s="10">
        <v>162</v>
      </c>
      <c r="C176" s="11">
        <f t="shared" si="19"/>
        <v>1517.9455240683837</v>
      </c>
      <c r="D176" s="11">
        <f t="shared" si="20"/>
        <v>1040.8806949775324</v>
      </c>
      <c r="E176" s="11">
        <f t="shared" si="26"/>
        <v>477.06482909085139</v>
      </c>
      <c r="F176" s="11">
        <f t="shared" si="27"/>
        <v>177959.62573848612</v>
      </c>
      <c r="H176" s="129">
        <f>IF(Principal!$D$25="Anual",IF(MOD(B176+1,12)=0,$W$2*((1+$W$3)^M176),0),$W$2*((1+$W$3)^M176)/12)</f>
        <v>382.22395841471803</v>
      </c>
      <c r="I176" s="68">
        <f t="shared" si="21"/>
        <v>2147.3414074831016</v>
      </c>
      <c r="J176" s="43">
        <f>SUM($I$14:I176)</f>
        <v>345130.98703293479</v>
      </c>
      <c r="K176" s="11">
        <f t="shared" si="22"/>
        <v>0</v>
      </c>
      <c r="L176" s="5">
        <f t="shared" si="23"/>
        <v>1900.1694824831015</v>
      </c>
      <c r="M176" s="10">
        <f t="shared" si="24"/>
        <v>13</v>
      </c>
      <c r="N176" s="189"/>
      <c r="O176" s="130">
        <f>IF(Principal!$D$30="Anual",IF(MOD(B176+1,12)=0,VLOOKUP(M176,'Flujos Anuales'!$B$8:$K$39,9),0),VLOOKUP(M176,'Flujos Anuales'!$B$8:$K$39,9)/12)</f>
        <v>372.17029626324739</v>
      </c>
      <c r="P176" s="120">
        <f>VLOOKUP(M176,'Flujos Anuales'!$B$8:$K$39,10)/12</f>
        <v>39.548741495056824</v>
      </c>
      <c r="Q176" s="120">
        <f t="shared" si="25"/>
        <v>2311.8885202414058</v>
      </c>
    </row>
    <row r="177" spans="2:17" x14ac:dyDescent="0.35">
      <c r="B177" s="10">
        <v>163</v>
      </c>
      <c r="C177" s="11">
        <f t="shared" si="19"/>
        <v>1517.9455240683837</v>
      </c>
      <c r="D177" s="11">
        <f t="shared" si="20"/>
        <v>1038.0978168078357</v>
      </c>
      <c r="E177" s="11">
        <f t="shared" si="26"/>
        <v>479.84770726054808</v>
      </c>
      <c r="F177" s="11">
        <f t="shared" si="27"/>
        <v>177479.77803122558</v>
      </c>
      <c r="H177" s="129">
        <f>IF(Principal!$D$25="Anual",IF(MOD(B177+1,12)=0,$W$2*((1+$W$3)^M177),0),$W$2*((1+$W$3)^M177)/12)</f>
        <v>382.22395841471803</v>
      </c>
      <c r="I177" s="68">
        <f t="shared" si="21"/>
        <v>2147.3414074831016</v>
      </c>
      <c r="J177" s="43">
        <f>SUM($I$14:I177)</f>
        <v>347278.32844041788</v>
      </c>
      <c r="K177" s="11">
        <f t="shared" si="22"/>
        <v>0</v>
      </c>
      <c r="L177" s="5">
        <f t="shared" si="23"/>
        <v>1900.1694824831015</v>
      </c>
      <c r="M177" s="10">
        <f t="shared" si="24"/>
        <v>13</v>
      </c>
      <c r="N177" s="189"/>
      <c r="O177" s="130">
        <f>IF(Principal!$D$30="Anual",IF(MOD(B177+1,12)=0,VLOOKUP(M177,'Flujos Anuales'!$B$8:$K$39,9),0),VLOOKUP(M177,'Flujos Anuales'!$B$8:$K$39,9)/12)</f>
        <v>372.17029626324739</v>
      </c>
      <c r="P177" s="120">
        <f>VLOOKUP(M177,'Flujos Anuales'!$B$8:$K$39,10)/12</f>
        <v>39.548741495056824</v>
      </c>
      <c r="Q177" s="120">
        <f t="shared" si="25"/>
        <v>2311.8885202414058</v>
      </c>
    </row>
    <row r="178" spans="2:17" x14ac:dyDescent="0.35">
      <c r="B178" s="10">
        <v>164</v>
      </c>
      <c r="C178" s="11">
        <f t="shared" si="19"/>
        <v>1517.9455240683837</v>
      </c>
      <c r="D178" s="11">
        <f t="shared" si="20"/>
        <v>1035.2987051821492</v>
      </c>
      <c r="E178" s="11">
        <f t="shared" si="26"/>
        <v>482.64681888623454</v>
      </c>
      <c r="F178" s="11">
        <f t="shared" si="27"/>
        <v>176997.13121233933</v>
      </c>
      <c r="H178" s="129">
        <f>IF(Principal!$D$25="Anual",IF(MOD(B178+1,12)=0,$W$2*((1+$W$3)^M178),0),$W$2*((1+$W$3)^M178)/12)</f>
        <v>382.22395841471803</v>
      </c>
      <c r="I178" s="68">
        <f t="shared" si="21"/>
        <v>2147.3414074831016</v>
      </c>
      <c r="J178" s="43">
        <f>SUM($I$14:I178)</f>
        <v>349425.66984790098</v>
      </c>
      <c r="K178" s="11">
        <f t="shared" si="22"/>
        <v>0</v>
      </c>
      <c r="L178" s="5">
        <f t="shared" si="23"/>
        <v>1900.1694824831015</v>
      </c>
      <c r="M178" s="10">
        <f t="shared" si="24"/>
        <v>13</v>
      </c>
      <c r="N178" s="189"/>
      <c r="O178" s="130">
        <f>IF(Principal!$D$30="Anual",IF(MOD(B178+1,12)=0,VLOOKUP(M178,'Flujos Anuales'!$B$8:$K$39,9),0),VLOOKUP(M178,'Flujos Anuales'!$B$8:$K$39,9)/12)</f>
        <v>372.17029626324739</v>
      </c>
      <c r="P178" s="120">
        <f>VLOOKUP(M178,'Flujos Anuales'!$B$8:$K$39,10)/12</f>
        <v>39.548741495056824</v>
      </c>
      <c r="Q178" s="120">
        <f t="shared" si="25"/>
        <v>2311.8885202414058</v>
      </c>
    </row>
    <row r="179" spans="2:17" x14ac:dyDescent="0.35">
      <c r="B179" s="10">
        <v>165</v>
      </c>
      <c r="C179" s="11">
        <f t="shared" si="19"/>
        <v>1517.9455240683837</v>
      </c>
      <c r="D179" s="11">
        <f t="shared" si="20"/>
        <v>1032.4832654053127</v>
      </c>
      <c r="E179" s="11">
        <f t="shared" si="26"/>
        <v>485.462258663071</v>
      </c>
      <c r="F179" s="11">
        <f t="shared" si="27"/>
        <v>176511.66895367627</v>
      </c>
      <c r="H179" s="129">
        <f>IF(Principal!$D$25="Anual",IF(MOD(B179+1,12)=0,$W$2*((1+$W$3)^M179),0),$W$2*((1+$W$3)^M179)/12)</f>
        <v>382.22395841471803</v>
      </c>
      <c r="I179" s="68">
        <f t="shared" si="21"/>
        <v>2147.3414074831016</v>
      </c>
      <c r="J179" s="43">
        <f>SUM($I$14:I179)</f>
        <v>351573.01125538407</v>
      </c>
      <c r="K179" s="11">
        <f t="shared" si="22"/>
        <v>0</v>
      </c>
      <c r="L179" s="5">
        <f t="shared" si="23"/>
        <v>1900.1694824831015</v>
      </c>
      <c r="M179" s="10">
        <f t="shared" si="24"/>
        <v>13</v>
      </c>
      <c r="N179" s="189"/>
      <c r="O179" s="130">
        <f>IF(Principal!$D$30="Anual",IF(MOD(B179+1,12)=0,VLOOKUP(M179,'Flujos Anuales'!$B$8:$K$39,9),0),VLOOKUP(M179,'Flujos Anuales'!$B$8:$K$39,9)/12)</f>
        <v>372.17029626324739</v>
      </c>
      <c r="P179" s="120">
        <f>VLOOKUP(M179,'Flujos Anuales'!$B$8:$K$39,10)/12</f>
        <v>39.548741495056824</v>
      </c>
      <c r="Q179" s="120">
        <f t="shared" si="25"/>
        <v>2311.8885202414058</v>
      </c>
    </row>
    <row r="180" spans="2:17" x14ac:dyDescent="0.35">
      <c r="B180" s="10">
        <v>166</v>
      </c>
      <c r="C180" s="11">
        <f t="shared" si="19"/>
        <v>1517.9455240683837</v>
      </c>
      <c r="D180" s="11">
        <f t="shared" si="20"/>
        <v>1029.6514022297783</v>
      </c>
      <c r="E180" s="11">
        <f t="shared" si="26"/>
        <v>488.29412183860541</v>
      </c>
      <c r="F180" s="11">
        <f t="shared" si="27"/>
        <v>176023.37483183766</v>
      </c>
      <c r="H180" s="129">
        <f>IF(Principal!$D$25="Anual",IF(MOD(B180+1,12)=0,$W$2*((1+$W$3)^M180),0),$W$2*((1+$W$3)^M180)/12)</f>
        <v>382.22395841471803</v>
      </c>
      <c r="I180" s="68">
        <f t="shared" si="21"/>
        <v>2147.3414074831016</v>
      </c>
      <c r="J180" s="43">
        <f>SUM($I$14:I180)</f>
        <v>353720.35266286717</v>
      </c>
      <c r="K180" s="11">
        <f t="shared" si="22"/>
        <v>0</v>
      </c>
      <c r="L180" s="5">
        <f t="shared" si="23"/>
        <v>1900.1694824831015</v>
      </c>
      <c r="M180" s="10">
        <f t="shared" si="24"/>
        <v>13</v>
      </c>
      <c r="N180" s="189"/>
      <c r="O180" s="130">
        <f>IF(Principal!$D$30="Anual",IF(MOD(B180+1,12)=0,VLOOKUP(M180,'Flujos Anuales'!$B$8:$K$39,9),0),VLOOKUP(M180,'Flujos Anuales'!$B$8:$K$39,9)/12)</f>
        <v>372.17029626324739</v>
      </c>
      <c r="P180" s="120">
        <f>VLOOKUP(M180,'Flujos Anuales'!$B$8:$K$39,10)/12</f>
        <v>39.548741495056824</v>
      </c>
      <c r="Q180" s="120">
        <f t="shared" si="25"/>
        <v>2311.8885202414058</v>
      </c>
    </row>
    <row r="181" spans="2:17" x14ac:dyDescent="0.35">
      <c r="B181" s="10">
        <v>167</v>
      </c>
      <c r="C181" s="11">
        <f t="shared" si="19"/>
        <v>1517.9455240683837</v>
      </c>
      <c r="D181" s="11">
        <f t="shared" si="20"/>
        <v>1026.8030198523863</v>
      </c>
      <c r="E181" s="11">
        <f t="shared" si="26"/>
        <v>491.14250421599741</v>
      </c>
      <c r="F181" s="11">
        <f t="shared" si="27"/>
        <v>175532.23232762166</v>
      </c>
      <c r="H181" s="129">
        <f>IF(Principal!$D$25="Anual",IF(MOD(B181+1,12)=0,$W$2*((1+$W$3)^M181),0),$W$2*((1+$W$3)^M181)/12)</f>
        <v>382.22395841471803</v>
      </c>
      <c r="I181" s="68">
        <f t="shared" si="21"/>
        <v>2147.3414074831016</v>
      </c>
      <c r="J181" s="43">
        <f>SUM($I$14:I181)</f>
        <v>355867.69407035026</v>
      </c>
      <c r="K181" s="11">
        <f t="shared" si="22"/>
        <v>0</v>
      </c>
      <c r="L181" s="5">
        <f t="shared" si="23"/>
        <v>1900.1694824831015</v>
      </c>
      <c r="M181" s="10">
        <f t="shared" si="24"/>
        <v>13</v>
      </c>
      <c r="N181" s="189"/>
      <c r="O181" s="130">
        <f>IF(Principal!$D$30="Anual",IF(MOD(B181+1,12)=0,VLOOKUP(M181,'Flujos Anuales'!$B$8:$K$39,9),0),VLOOKUP(M181,'Flujos Anuales'!$B$8:$K$39,9)/12)</f>
        <v>372.17029626324739</v>
      </c>
      <c r="P181" s="120">
        <f>VLOOKUP(M181,'Flujos Anuales'!$B$8:$K$39,10)/12</f>
        <v>39.548741495056824</v>
      </c>
      <c r="Q181" s="120">
        <f t="shared" si="25"/>
        <v>2311.8885202414058</v>
      </c>
    </row>
    <row r="182" spans="2:17" x14ac:dyDescent="0.35">
      <c r="B182" s="10">
        <v>168</v>
      </c>
      <c r="C182" s="11">
        <f t="shared" si="19"/>
        <v>1517.9455240683837</v>
      </c>
      <c r="D182" s="11">
        <f t="shared" si="20"/>
        <v>1023.9380219111264</v>
      </c>
      <c r="E182" s="11">
        <f t="shared" si="26"/>
        <v>494.00750215725736</v>
      </c>
      <c r="F182" s="11">
        <f t="shared" si="27"/>
        <v>175038.22482546439</v>
      </c>
      <c r="H182" s="129">
        <f>IF(Principal!$D$25="Anual",IF(MOD(B182+1,12)=0,$W$2*((1+$W$3)^M182),0),$W$2*((1+$W$3)^M182)/12)</f>
        <v>384.84910668244362</v>
      </c>
      <c r="I182" s="68">
        <f t="shared" si="21"/>
        <v>2149.9665557508274</v>
      </c>
      <c r="J182" s="43">
        <f>SUM($I$14:I182)</f>
        <v>358017.66062610107</v>
      </c>
      <c r="K182" s="11">
        <f t="shared" si="22"/>
        <v>0</v>
      </c>
      <c r="L182" s="5">
        <f t="shared" si="23"/>
        <v>1902.7946307508273</v>
      </c>
      <c r="M182" s="10">
        <f t="shared" si="24"/>
        <v>14</v>
      </c>
      <c r="N182" s="189">
        <f>SUM(L182:L193)</f>
        <v>22833.535569009935</v>
      </c>
      <c r="O182" s="130">
        <f>IF(Principal!$D$30="Anual",IF(MOD(B182+1,12)=0,VLOOKUP(M182,'Flujos Anuales'!$B$8:$K$39,9),0),VLOOKUP(M182,'Flujos Anuales'!$B$8:$K$39,9)/12)</f>
        <v>389.16912441253311</v>
      </c>
      <c r="P182" s="120">
        <f>VLOOKUP(M182,'Flujos Anuales'!$B$8:$K$39,10)/12</f>
        <v>39.944228910007396</v>
      </c>
      <c r="Q182" s="120">
        <f t="shared" si="25"/>
        <v>2331.907984073368</v>
      </c>
    </row>
    <row r="183" spans="2:17" x14ac:dyDescent="0.35">
      <c r="B183" s="10">
        <v>169</v>
      </c>
      <c r="C183" s="11">
        <f t="shared" si="19"/>
        <v>1517.9455240683837</v>
      </c>
      <c r="D183" s="11">
        <f t="shared" si="20"/>
        <v>1021.0563114818757</v>
      </c>
      <c r="E183" s="11">
        <f t="shared" si="26"/>
        <v>496.88921258650805</v>
      </c>
      <c r="F183" s="11">
        <f t="shared" si="27"/>
        <v>174541.33561287788</v>
      </c>
      <c r="H183" s="129">
        <f>IF(Principal!$D$25="Anual",IF(MOD(B183+1,12)=0,$W$2*((1+$W$3)^M183),0),$W$2*((1+$W$3)^M183)/12)</f>
        <v>384.84910668244362</v>
      </c>
      <c r="I183" s="68">
        <f t="shared" si="21"/>
        <v>2149.9665557508274</v>
      </c>
      <c r="J183" s="43">
        <f>SUM($I$14:I183)</f>
        <v>360167.62718185189</v>
      </c>
      <c r="K183" s="11">
        <f t="shared" si="22"/>
        <v>0</v>
      </c>
      <c r="L183" s="5">
        <f t="shared" si="23"/>
        <v>1902.7946307508273</v>
      </c>
      <c r="M183" s="10">
        <f t="shared" si="24"/>
        <v>14</v>
      </c>
      <c r="N183" s="189"/>
      <c r="O183" s="130">
        <f>IF(Principal!$D$30="Anual",IF(MOD(B183+1,12)=0,VLOOKUP(M183,'Flujos Anuales'!$B$8:$K$39,9),0),VLOOKUP(M183,'Flujos Anuales'!$B$8:$K$39,9)/12)</f>
        <v>389.16912441253311</v>
      </c>
      <c r="P183" s="120">
        <f>VLOOKUP(M183,'Flujos Anuales'!$B$8:$K$39,10)/12</f>
        <v>39.944228910007396</v>
      </c>
      <c r="Q183" s="120">
        <f t="shared" si="25"/>
        <v>2331.907984073368</v>
      </c>
    </row>
    <row r="184" spans="2:17" x14ac:dyDescent="0.35">
      <c r="B184" s="10">
        <v>170</v>
      </c>
      <c r="C184" s="11">
        <f t="shared" si="19"/>
        <v>1517.9455240683837</v>
      </c>
      <c r="D184" s="11">
        <f t="shared" si="20"/>
        <v>1018.1577910751211</v>
      </c>
      <c r="E184" s="11">
        <f t="shared" si="26"/>
        <v>499.78773299326269</v>
      </c>
      <c r="F184" s="11">
        <f t="shared" si="27"/>
        <v>174041.54787988463</v>
      </c>
      <c r="H184" s="129">
        <f>IF(Principal!$D$25="Anual",IF(MOD(B184+1,12)=0,$W$2*((1+$W$3)^M184),0),$W$2*((1+$W$3)^M184)/12)</f>
        <v>384.84910668244362</v>
      </c>
      <c r="I184" s="68">
        <f t="shared" si="21"/>
        <v>2149.9665557508274</v>
      </c>
      <c r="J184" s="43">
        <f>SUM($I$14:I184)</f>
        <v>362317.5937376027</v>
      </c>
      <c r="K184" s="11">
        <f t="shared" si="22"/>
        <v>0</v>
      </c>
      <c r="L184" s="5">
        <f t="shared" si="23"/>
        <v>1902.7946307508273</v>
      </c>
      <c r="M184" s="10">
        <f t="shared" si="24"/>
        <v>14</v>
      </c>
      <c r="N184" s="189"/>
      <c r="O184" s="130">
        <f>IF(Principal!$D$30="Anual",IF(MOD(B184+1,12)=0,VLOOKUP(M184,'Flujos Anuales'!$B$8:$K$39,9),0),VLOOKUP(M184,'Flujos Anuales'!$B$8:$K$39,9)/12)</f>
        <v>389.16912441253311</v>
      </c>
      <c r="P184" s="120">
        <f>VLOOKUP(M184,'Flujos Anuales'!$B$8:$K$39,10)/12</f>
        <v>39.944228910007396</v>
      </c>
      <c r="Q184" s="120">
        <f t="shared" si="25"/>
        <v>2331.907984073368</v>
      </c>
    </row>
    <row r="185" spans="2:17" x14ac:dyDescent="0.35">
      <c r="B185" s="10">
        <v>171</v>
      </c>
      <c r="C185" s="11">
        <f t="shared" si="19"/>
        <v>1517.9455240683837</v>
      </c>
      <c r="D185" s="11">
        <f t="shared" si="20"/>
        <v>1015.2423626326604</v>
      </c>
      <c r="E185" s="11">
        <f t="shared" si="26"/>
        <v>502.70316143572336</v>
      </c>
      <c r="F185" s="11">
        <f t="shared" si="27"/>
        <v>173538.84471844891</v>
      </c>
      <c r="H185" s="129">
        <f>IF(Principal!$D$25="Anual",IF(MOD(B185+1,12)=0,$W$2*((1+$W$3)^M185),0),$W$2*((1+$W$3)^M185)/12)</f>
        <v>384.84910668244362</v>
      </c>
      <c r="I185" s="68">
        <f t="shared" si="21"/>
        <v>2149.9665557508274</v>
      </c>
      <c r="J185" s="43">
        <f>SUM($I$14:I185)</f>
        <v>364467.56029335351</v>
      </c>
      <c r="K185" s="11">
        <f t="shared" si="22"/>
        <v>0</v>
      </c>
      <c r="L185" s="5">
        <f t="shared" si="23"/>
        <v>1902.7946307508273</v>
      </c>
      <c r="M185" s="10">
        <f t="shared" si="24"/>
        <v>14</v>
      </c>
      <c r="N185" s="189"/>
      <c r="O185" s="130">
        <f>IF(Principal!$D$30="Anual",IF(MOD(B185+1,12)=0,VLOOKUP(M185,'Flujos Anuales'!$B$8:$K$39,9),0),VLOOKUP(M185,'Flujos Anuales'!$B$8:$K$39,9)/12)</f>
        <v>389.16912441253311</v>
      </c>
      <c r="P185" s="120">
        <f>VLOOKUP(M185,'Flujos Anuales'!$B$8:$K$39,10)/12</f>
        <v>39.944228910007396</v>
      </c>
      <c r="Q185" s="120">
        <f t="shared" si="25"/>
        <v>2331.907984073368</v>
      </c>
    </row>
    <row r="186" spans="2:17" x14ac:dyDescent="0.35">
      <c r="B186" s="10">
        <v>172</v>
      </c>
      <c r="C186" s="11">
        <f t="shared" si="19"/>
        <v>1517.9455240683837</v>
      </c>
      <c r="D186" s="11">
        <f t="shared" si="20"/>
        <v>1012.3099275242853</v>
      </c>
      <c r="E186" s="11">
        <f t="shared" si="26"/>
        <v>505.63559654409846</v>
      </c>
      <c r="F186" s="11">
        <f t="shared" si="27"/>
        <v>173033.2091219048</v>
      </c>
      <c r="H186" s="129">
        <f>IF(Principal!$D$25="Anual",IF(MOD(B186+1,12)=0,$W$2*((1+$W$3)^M186),0),$W$2*((1+$W$3)^M186)/12)</f>
        <v>384.84910668244362</v>
      </c>
      <c r="I186" s="68">
        <f t="shared" si="21"/>
        <v>2149.9665557508274</v>
      </c>
      <c r="J186" s="43">
        <f>SUM($I$14:I186)</f>
        <v>366617.52684910432</v>
      </c>
      <c r="K186" s="11">
        <f t="shared" si="22"/>
        <v>0</v>
      </c>
      <c r="L186" s="5">
        <f t="shared" si="23"/>
        <v>1902.7946307508273</v>
      </c>
      <c r="M186" s="10">
        <f t="shared" si="24"/>
        <v>14</v>
      </c>
      <c r="N186" s="189"/>
      <c r="O186" s="130">
        <f>IF(Principal!$D$30="Anual",IF(MOD(B186+1,12)=0,VLOOKUP(M186,'Flujos Anuales'!$B$8:$K$39,9),0),VLOOKUP(M186,'Flujos Anuales'!$B$8:$K$39,9)/12)</f>
        <v>389.16912441253311</v>
      </c>
      <c r="P186" s="120">
        <f>VLOOKUP(M186,'Flujos Anuales'!$B$8:$K$39,10)/12</f>
        <v>39.944228910007396</v>
      </c>
      <c r="Q186" s="120">
        <f t="shared" si="25"/>
        <v>2331.907984073368</v>
      </c>
    </row>
    <row r="187" spans="2:17" x14ac:dyDescent="0.35">
      <c r="B187" s="10">
        <v>173</v>
      </c>
      <c r="C187" s="11">
        <f t="shared" si="19"/>
        <v>1517.9455240683837</v>
      </c>
      <c r="D187" s="11">
        <f t="shared" si="20"/>
        <v>1009.3603865444447</v>
      </c>
      <c r="E187" s="11">
        <f t="shared" si="26"/>
        <v>508.58513752393901</v>
      </c>
      <c r="F187" s="11">
        <f t="shared" si="27"/>
        <v>172524.62398438086</v>
      </c>
      <c r="H187" s="129">
        <f>IF(Principal!$D$25="Anual",IF(MOD(B187+1,12)=0,$W$2*((1+$W$3)^M187),0),$W$2*((1+$W$3)^M187)/12)</f>
        <v>384.84910668244362</v>
      </c>
      <c r="I187" s="68">
        <f t="shared" si="21"/>
        <v>2149.9665557508274</v>
      </c>
      <c r="J187" s="43">
        <f>SUM($I$14:I187)</f>
        <v>368767.49340485514</v>
      </c>
      <c r="K187" s="11">
        <f t="shared" si="22"/>
        <v>0</v>
      </c>
      <c r="L187" s="5">
        <f t="shared" si="23"/>
        <v>1902.7946307508273</v>
      </c>
      <c r="M187" s="10">
        <f t="shared" si="24"/>
        <v>14</v>
      </c>
      <c r="N187" s="189"/>
      <c r="O187" s="130">
        <f>IF(Principal!$D$30="Anual",IF(MOD(B187+1,12)=0,VLOOKUP(M187,'Flujos Anuales'!$B$8:$K$39,9),0),VLOOKUP(M187,'Flujos Anuales'!$B$8:$K$39,9)/12)</f>
        <v>389.16912441253311</v>
      </c>
      <c r="P187" s="120">
        <f>VLOOKUP(M187,'Flujos Anuales'!$B$8:$K$39,10)/12</f>
        <v>39.944228910007396</v>
      </c>
      <c r="Q187" s="120">
        <f t="shared" si="25"/>
        <v>2331.907984073368</v>
      </c>
    </row>
    <row r="188" spans="2:17" x14ac:dyDescent="0.35">
      <c r="B188" s="10">
        <v>174</v>
      </c>
      <c r="C188" s="11">
        <f t="shared" si="19"/>
        <v>1517.9455240683837</v>
      </c>
      <c r="D188" s="11">
        <f t="shared" si="20"/>
        <v>1006.3936399088884</v>
      </c>
      <c r="E188" s="11">
        <f t="shared" si="26"/>
        <v>511.55188415949533</v>
      </c>
      <c r="F188" s="11">
        <f t="shared" si="27"/>
        <v>172013.07210022135</v>
      </c>
      <c r="H188" s="129">
        <f>IF(Principal!$D$25="Anual",IF(MOD(B188+1,12)=0,$W$2*((1+$W$3)^M188),0),$W$2*((1+$W$3)^M188)/12)</f>
        <v>384.84910668244362</v>
      </c>
      <c r="I188" s="68">
        <f t="shared" si="21"/>
        <v>2149.9665557508274</v>
      </c>
      <c r="J188" s="43">
        <f>SUM($I$14:I188)</f>
        <v>370917.45996060595</v>
      </c>
      <c r="K188" s="11">
        <f t="shared" si="22"/>
        <v>0</v>
      </c>
      <c r="L188" s="5">
        <f t="shared" si="23"/>
        <v>1902.7946307508273</v>
      </c>
      <c r="M188" s="10">
        <f t="shared" si="24"/>
        <v>14</v>
      </c>
      <c r="N188" s="189"/>
      <c r="O188" s="130">
        <f>IF(Principal!$D$30="Anual",IF(MOD(B188+1,12)=0,VLOOKUP(M188,'Flujos Anuales'!$B$8:$K$39,9),0),VLOOKUP(M188,'Flujos Anuales'!$B$8:$K$39,9)/12)</f>
        <v>389.16912441253311</v>
      </c>
      <c r="P188" s="120">
        <f>VLOOKUP(M188,'Flujos Anuales'!$B$8:$K$39,10)/12</f>
        <v>39.944228910007396</v>
      </c>
      <c r="Q188" s="120">
        <f t="shared" si="25"/>
        <v>2331.907984073368</v>
      </c>
    </row>
    <row r="189" spans="2:17" x14ac:dyDescent="0.35">
      <c r="B189" s="10">
        <v>175</v>
      </c>
      <c r="C189" s="11">
        <f t="shared" si="19"/>
        <v>1517.9455240683837</v>
      </c>
      <c r="D189" s="11">
        <f t="shared" si="20"/>
        <v>1003.4095872512913</v>
      </c>
      <c r="E189" s="11">
        <f t="shared" si="26"/>
        <v>514.53593681709242</v>
      </c>
      <c r="F189" s="11">
        <f t="shared" si="27"/>
        <v>171498.53616340426</v>
      </c>
      <c r="H189" s="129">
        <f>IF(Principal!$D$25="Anual",IF(MOD(B189+1,12)=0,$W$2*((1+$W$3)^M189),0),$W$2*((1+$W$3)^M189)/12)</f>
        <v>384.84910668244362</v>
      </c>
      <c r="I189" s="68">
        <f t="shared" si="21"/>
        <v>2149.9665557508274</v>
      </c>
      <c r="J189" s="43">
        <f>SUM($I$14:I189)</f>
        <v>373067.42651635676</v>
      </c>
      <c r="K189" s="11">
        <f t="shared" si="22"/>
        <v>0</v>
      </c>
      <c r="L189" s="5">
        <f t="shared" si="23"/>
        <v>1902.7946307508273</v>
      </c>
      <c r="M189" s="10">
        <f t="shared" si="24"/>
        <v>14</v>
      </c>
      <c r="N189" s="189"/>
      <c r="O189" s="130">
        <f>IF(Principal!$D$30="Anual",IF(MOD(B189+1,12)=0,VLOOKUP(M189,'Flujos Anuales'!$B$8:$K$39,9),0),VLOOKUP(M189,'Flujos Anuales'!$B$8:$K$39,9)/12)</f>
        <v>389.16912441253311</v>
      </c>
      <c r="P189" s="120">
        <f>VLOOKUP(M189,'Flujos Anuales'!$B$8:$K$39,10)/12</f>
        <v>39.944228910007396</v>
      </c>
      <c r="Q189" s="120">
        <f t="shared" si="25"/>
        <v>2331.907984073368</v>
      </c>
    </row>
    <row r="190" spans="2:17" x14ac:dyDescent="0.35">
      <c r="B190" s="10">
        <v>176</v>
      </c>
      <c r="C190" s="11">
        <f t="shared" si="19"/>
        <v>1517.9455240683837</v>
      </c>
      <c r="D190" s="11">
        <f t="shared" si="20"/>
        <v>1000.4081276198583</v>
      </c>
      <c r="E190" s="11">
        <f t="shared" si="26"/>
        <v>517.53739644852544</v>
      </c>
      <c r="F190" s="11">
        <f t="shared" si="27"/>
        <v>170980.99876695574</v>
      </c>
      <c r="H190" s="129">
        <f>IF(Principal!$D$25="Anual",IF(MOD(B190+1,12)=0,$W$2*((1+$W$3)^M190),0),$W$2*((1+$W$3)^M190)/12)</f>
        <v>384.84910668244362</v>
      </c>
      <c r="I190" s="68">
        <f t="shared" si="21"/>
        <v>2149.9665557508274</v>
      </c>
      <c r="J190" s="43">
        <f>SUM($I$14:I190)</f>
        <v>375217.39307210757</v>
      </c>
      <c r="K190" s="11">
        <f t="shared" si="22"/>
        <v>0</v>
      </c>
      <c r="L190" s="5">
        <f t="shared" si="23"/>
        <v>1902.7946307508273</v>
      </c>
      <c r="M190" s="10">
        <f t="shared" si="24"/>
        <v>14</v>
      </c>
      <c r="N190" s="189"/>
      <c r="O190" s="130">
        <f>IF(Principal!$D$30="Anual",IF(MOD(B190+1,12)=0,VLOOKUP(M190,'Flujos Anuales'!$B$8:$K$39,9),0),VLOOKUP(M190,'Flujos Anuales'!$B$8:$K$39,9)/12)</f>
        <v>389.16912441253311</v>
      </c>
      <c r="P190" s="120">
        <f>VLOOKUP(M190,'Flujos Anuales'!$B$8:$K$39,10)/12</f>
        <v>39.944228910007396</v>
      </c>
      <c r="Q190" s="120">
        <f t="shared" si="25"/>
        <v>2331.907984073368</v>
      </c>
    </row>
    <row r="191" spans="2:17" x14ac:dyDescent="0.35">
      <c r="B191" s="10">
        <v>177</v>
      </c>
      <c r="C191" s="11">
        <f t="shared" si="19"/>
        <v>1517.9455240683837</v>
      </c>
      <c r="D191" s="11">
        <f t="shared" si="20"/>
        <v>997.38915947390853</v>
      </c>
      <c r="E191" s="11">
        <f t="shared" si="26"/>
        <v>520.55636459447521</v>
      </c>
      <c r="F191" s="11">
        <f t="shared" si="27"/>
        <v>170460.44240236128</v>
      </c>
      <c r="H191" s="129">
        <f>IF(Principal!$D$25="Anual",IF(MOD(B191+1,12)=0,$W$2*((1+$W$3)^M191),0),$W$2*((1+$W$3)^M191)/12)</f>
        <v>384.84910668244362</v>
      </c>
      <c r="I191" s="68">
        <f t="shared" si="21"/>
        <v>2149.9665557508274</v>
      </c>
      <c r="J191" s="43">
        <f>SUM($I$14:I191)</f>
        <v>377367.35962785839</v>
      </c>
      <c r="K191" s="11">
        <f t="shared" si="22"/>
        <v>0</v>
      </c>
      <c r="L191" s="5">
        <f t="shared" si="23"/>
        <v>1902.7946307508273</v>
      </c>
      <c r="M191" s="10">
        <f t="shared" si="24"/>
        <v>14</v>
      </c>
      <c r="N191" s="189"/>
      <c r="O191" s="130">
        <f>IF(Principal!$D$30="Anual",IF(MOD(B191+1,12)=0,VLOOKUP(M191,'Flujos Anuales'!$B$8:$K$39,9),0),VLOOKUP(M191,'Flujos Anuales'!$B$8:$K$39,9)/12)</f>
        <v>389.16912441253311</v>
      </c>
      <c r="P191" s="120">
        <f>VLOOKUP(M191,'Flujos Anuales'!$B$8:$K$39,10)/12</f>
        <v>39.944228910007396</v>
      </c>
      <c r="Q191" s="120">
        <f t="shared" si="25"/>
        <v>2331.907984073368</v>
      </c>
    </row>
    <row r="192" spans="2:17" x14ac:dyDescent="0.35">
      <c r="B192" s="10">
        <v>178</v>
      </c>
      <c r="C192" s="11">
        <f t="shared" si="19"/>
        <v>1517.9455240683837</v>
      </c>
      <c r="D192" s="11">
        <f t="shared" si="20"/>
        <v>994.35258068044084</v>
      </c>
      <c r="E192" s="11">
        <f t="shared" si="26"/>
        <v>523.59294338794291</v>
      </c>
      <c r="F192" s="11">
        <f t="shared" si="27"/>
        <v>169936.84945897333</v>
      </c>
      <c r="H192" s="129">
        <f>IF(Principal!$D$25="Anual",IF(MOD(B192+1,12)=0,$W$2*((1+$W$3)^M192),0),$W$2*((1+$W$3)^M192)/12)</f>
        <v>384.84910668244362</v>
      </c>
      <c r="I192" s="68">
        <f t="shared" si="21"/>
        <v>2149.9665557508274</v>
      </c>
      <c r="J192" s="43">
        <f>SUM($I$14:I192)</f>
        <v>379517.3261836092</v>
      </c>
      <c r="K192" s="11">
        <f t="shared" si="22"/>
        <v>0</v>
      </c>
      <c r="L192" s="5">
        <f t="shared" si="23"/>
        <v>1902.7946307508273</v>
      </c>
      <c r="M192" s="10">
        <f t="shared" si="24"/>
        <v>14</v>
      </c>
      <c r="N192" s="189"/>
      <c r="O192" s="130">
        <f>IF(Principal!$D$30="Anual",IF(MOD(B192+1,12)=0,VLOOKUP(M192,'Flujos Anuales'!$B$8:$K$39,9),0),VLOOKUP(M192,'Flujos Anuales'!$B$8:$K$39,9)/12)</f>
        <v>389.16912441253311</v>
      </c>
      <c r="P192" s="120">
        <f>VLOOKUP(M192,'Flujos Anuales'!$B$8:$K$39,10)/12</f>
        <v>39.944228910007396</v>
      </c>
      <c r="Q192" s="120">
        <f t="shared" si="25"/>
        <v>2331.907984073368</v>
      </c>
    </row>
    <row r="193" spans="2:17" x14ac:dyDescent="0.35">
      <c r="B193" s="10">
        <v>179</v>
      </c>
      <c r="C193" s="11">
        <f t="shared" si="19"/>
        <v>1517.9455240683837</v>
      </c>
      <c r="D193" s="11">
        <f t="shared" si="20"/>
        <v>991.29828851067782</v>
      </c>
      <c r="E193" s="11">
        <f t="shared" si="26"/>
        <v>526.64723555770593</v>
      </c>
      <c r="F193" s="11">
        <f t="shared" si="27"/>
        <v>169410.20222341563</v>
      </c>
      <c r="H193" s="129">
        <f>IF(Principal!$D$25="Anual",IF(MOD(B193+1,12)=0,$W$2*((1+$W$3)^M193),0),$W$2*((1+$W$3)^M193)/12)</f>
        <v>384.84910668244362</v>
      </c>
      <c r="I193" s="68">
        <f t="shared" si="21"/>
        <v>2149.9665557508274</v>
      </c>
      <c r="J193" s="43">
        <f>SUM($I$14:I193)</f>
        <v>381667.29273936001</v>
      </c>
      <c r="K193" s="11">
        <f t="shared" si="22"/>
        <v>0</v>
      </c>
      <c r="L193" s="5">
        <f t="shared" si="23"/>
        <v>1902.7946307508273</v>
      </c>
      <c r="M193" s="10">
        <f t="shared" si="24"/>
        <v>14</v>
      </c>
      <c r="N193" s="189"/>
      <c r="O193" s="130">
        <f>IF(Principal!$D$30="Anual",IF(MOD(B193+1,12)=0,VLOOKUP(M193,'Flujos Anuales'!$B$8:$K$39,9),0),VLOOKUP(M193,'Flujos Anuales'!$B$8:$K$39,9)/12)</f>
        <v>389.16912441253311</v>
      </c>
      <c r="P193" s="120">
        <f>VLOOKUP(M193,'Flujos Anuales'!$B$8:$K$39,10)/12</f>
        <v>39.944228910007396</v>
      </c>
      <c r="Q193" s="120">
        <f t="shared" si="25"/>
        <v>2331.907984073368</v>
      </c>
    </row>
    <row r="194" spans="2:17" x14ac:dyDescent="0.35">
      <c r="B194" s="10">
        <v>180</v>
      </c>
      <c r="C194" s="11">
        <f t="shared" si="19"/>
        <v>1517.9455240683837</v>
      </c>
      <c r="D194" s="11">
        <f t="shared" si="20"/>
        <v>988.22617963659127</v>
      </c>
      <c r="E194" s="11">
        <f t="shared" si="26"/>
        <v>529.71934443179248</v>
      </c>
      <c r="F194" s="11">
        <f t="shared" si="27"/>
        <v>168880.48287898384</v>
      </c>
      <c r="H194" s="129">
        <f>IF(Principal!$D$25="Anual",IF(MOD(B194+1,12)=0,$W$2*((1+$W$3)^M194),0),$W$2*((1+$W$3)^M194)/12)</f>
        <v>387.4922847028202</v>
      </c>
      <c r="I194" s="68">
        <f t="shared" si="21"/>
        <v>2152.609733771204</v>
      </c>
      <c r="J194" s="43">
        <f>SUM($I$14:I194)</f>
        <v>383819.90247313119</v>
      </c>
      <c r="K194" s="11">
        <f t="shared" si="22"/>
        <v>0</v>
      </c>
      <c r="L194" s="5">
        <f t="shared" si="23"/>
        <v>1905.4378087712039</v>
      </c>
      <c r="M194" s="10">
        <f t="shared" si="24"/>
        <v>15</v>
      </c>
      <c r="N194" s="189">
        <f>SUM(L194:L205)</f>
        <v>22865.253705254439</v>
      </c>
      <c r="O194" s="130">
        <f>IF(Principal!$D$30="Anual",IF(MOD(B194+1,12)=0,VLOOKUP(M194,'Flujos Anuales'!$B$8:$K$39,9),0),VLOOKUP(M194,'Flujos Anuales'!$B$8:$K$39,9)/12)</f>
        <v>406.94437174774038</v>
      </c>
      <c r="P194" s="120">
        <f>VLOOKUP(M194,'Flujos Anuales'!$B$8:$K$39,10)/12</f>
        <v>40.343671199107469</v>
      </c>
      <c r="Q194" s="120">
        <f t="shared" si="25"/>
        <v>2352.7258517180517</v>
      </c>
    </row>
    <row r="195" spans="2:17" x14ac:dyDescent="0.35">
      <c r="B195" s="10">
        <v>181</v>
      </c>
      <c r="C195" s="11">
        <f t="shared" si="19"/>
        <v>1517.9455240683837</v>
      </c>
      <c r="D195" s="11">
        <f t="shared" si="20"/>
        <v>985.1361501274057</v>
      </c>
      <c r="E195" s="11">
        <f t="shared" si="26"/>
        <v>532.80937394097805</v>
      </c>
      <c r="F195" s="11">
        <f t="shared" si="27"/>
        <v>168347.67350504285</v>
      </c>
      <c r="H195" s="129">
        <f>IF(Principal!$D$25="Anual",IF(MOD(B195+1,12)=0,$W$2*((1+$W$3)^M195),0),$W$2*((1+$W$3)^M195)/12)</f>
        <v>387.4922847028202</v>
      </c>
      <c r="I195" s="68">
        <f t="shared" si="21"/>
        <v>2152.609733771204</v>
      </c>
      <c r="J195" s="43">
        <f>SUM($I$14:I195)</f>
        <v>385972.51220690238</v>
      </c>
      <c r="K195" s="11">
        <f t="shared" si="22"/>
        <v>0</v>
      </c>
      <c r="L195" s="5">
        <f t="shared" si="23"/>
        <v>1905.4378087712039</v>
      </c>
      <c r="M195" s="10">
        <f t="shared" si="24"/>
        <v>15</v>
      </c>
      <c r="N195" s="189"/>
      <c r="O195" s="130">
        <f>IF(Principal!$D$30="Anual",IF(MOD(B195+1,12)=0,VLOOKUP(M195,'Flujos Anuales'!$B$8:$K$39,9),0),VLOOKUP(M195,'Flujos Anuales'!$B$8:$K$39,9)/12)</f>
        <v>406.94437174774038</v>
      </c>
      <c r="P195" s="120">
        <f>VLOOKUP(M195,'Flujos Anuales'!$B$8:$K$39,10)/12</f>
        <v>40.343671199107469</v>
      </c>
      <c r="Q195" s="120">
        <f t="shared" si="25"/>
        <v>2352.7258517180517</v>
      </c>
    </row>
    <row r="196" spans="2:17" x14ac:dyDescent="0.35">
      <c r="B196" s="10">
        <v>182</v>
      </c>
      <c r="C196" s="11">
        <f t="shared" si="19"/>
        <v>1517.9455240683837</v>
      </c>
      <c r="D196" s="11">
        <f t="shared" si="20"/>
        <v>982.0280954460834</v>
      </c>
      <c r="E196" s="11">
        <f t="shared" si="26"/>
        <v>535.91742862230035</v>
      </c>
      <c r="F196" s="11">
        <f t="shared" si="27"/>
        <v>167811.75607642054</v>
      </c>
      <c r="H196" s="129">
        <f>IF(Principal!$D$25="Anual",IF(MOD(B196+1,12)=0,$W$2*((1+$W$3)^M196),0),$W$2*((1+$W$3)^M196)/12)</f>
        <v>387.4922847028202</v>
      </c>
      <c r="I196" s="68">
        <f t="shared" si="21"/>
        <v>2152.609733771204</v>
      </c>
      <c r="J196" s="43">
        <f>SUM($I$14:I196)</f>
        <v>388125.12194067356</v>
      </c>
      <c r="K196" s="11">
        <f t="shared" si="22"/>
        <v>0</v>
      </c>
      <c r="L196" s="5">
        <f t="shared" si="23"/>
        <v>1905.4378087712039</v>
      </c>
      <c r="M196" s="10">
        <f t="shared" si="24"/>
        <v>15</v>
      </c>
      <c r="N196" s="189"/>
      <c r="O196" s="130">
        <f>IF(Principal!$D$30="Anual",IF(MOD(B196+1,12)=0,VLOOKUP(M196,'Flujos Anuales'!$B$8:$K$39,9),0),VLOOKUP(M196,'Flujos Anuales'!$B$8:$K$39,9)/12)</f>
        <v>406.94437174774038</v>
      </c>
      <c r="P196" s="120">
        <f>VLOOKUP(M196,'Flujos Anuales'!$B$8:$K$39,10)/12</f>
        <v>40.343671199107469</v>
      </c>
      <c r="Q196" s="120">
        <f t="shared" si="25"/>
        <v>2352.7258517180517</v>
      </c>
    </row>
    <row r="197" spans="2:17" x14ac:dyDescent="0.35">
      <c r="B197" s="10">
        <v>183</v>
      </c>
      <c r="C197" s="11">
        <f t="shared" si="19"/>
        <v>1517.9455240683837</v>
      </c>
      <c r="D197" s="11">
        <f t="shared" si="20"/>
        <v>978.90191044578648</v>
      </c>
      <c r="E197" s="11">
        <f t="shared" si="26"/>
        <v>539.04361362259726</v>
      </c>
      <c r="F197" s="11">
        <f t="shared" si="27"/>
        <v>167272.71246279794</v>
      </c>
      <c r="H197" s="129">
        <f>IF(Principal!$D$25="Anual",IF(MOD(B197+1,12)=0,$W$2*((1+$W$3)^M197),0),$W$2*((1+$W$3)^M197)/12)</f>
        <v>387.4922847028202</v>
      </c>
      <c r="I197" s="68">
        <f t="shared" si="21"/>
        <v>2152.609733771204</v>
      </c>
      <c r="J197" s="43">
        <f>SUM($I$14:I197)</f>
        <v>390277.73167444475</v>
      </c>
      <c r="K197" s="11">
        <f t="shared" si="22"/>
        <v>0</v>
      </c>
      <c r="L197" s="5">
        <f t="shared" si="23"/>
        <v>1905.4378087712039</v>
      </c>
      <c r="M197" s="10">
        <f t="shared" si="24"/>
        <v>15</v>
      </c>
      <c r="N197" s="189"/>
      <c r="O197" s="130">
        <f>IF(Principal!$D$30="Anual",IF(MOD(B197+1,12)=0,VLOOKUP(M197,'Flujos Anuales'!$B$8:$K$39,9),0),VLOOKUP(M197,'Flujos Anuales'!$B$8:$K$39,9)/12)</f>
        <v>406.94437174774038</v>
      </c>
      <c r="P197" s="120">
        <f>VLOOKUP(M197,'Flujos Anuales'!$B$8:$K$39,10)/12</f>
        <v>40.343671199107469</v>
      </c>
      <c r="Q197" s="120">
        <f t="shared" si="25"/>
        <v>2352.7258517180517</v>
      </c>
    </row>
    <row r="198" spans="2:17" x14ac:dyDescent="0.35">
      <c r="B198" s="10">
        <v>184</v>
      </c>
      <c r="C198" s="11">
        <f t="shared" si="19"/>
        <v>1517.9455240683837</v>
      </c>
      <c r="D198" s="11">
        <f t="shared" si="20"/>
        <v>975.75748936632135</v>
      </c>
      <c r="E198" s="11">
        <f t="shared" si="26"/>
        <v>542.1880347020624</v>
      </c>
      <c r="F198" s="11">
        <f t="shared" si="27"/>
        <v>166730.52442809587</v>
      </c>
      <c r="H198" s="129">
        <f>IF(Principal!$D$25="Anual",IF(MOD(B198+1,12)=0,$W$2*((1+$W$3)^M198),0),$W$2*((1+$W$3)^M198)/12)</f>
        <v>387.4922847028202</v>
      </c>
      <c r="I198" s="68">
        <f t="shared" si="21"/>
        <v>2152.609733771204</v>
      </c>
      <c r="J198" s="43">
        <f>SUM($I$14:I198)</f>
        <v>392430.34140821593</v>
      </c>
      <c r="K198" s="11">
        <f t="shared" si="22"/>
        <v>0</v>
      </c>
      <c r="L198" s="5">
        <f t="shared" si="23"/>
        <v>1905.4378087712039</v>
      </c>
      <c r="M198" s="10">
        <f t="shared" si="24"/>
        <v>15</v>
      </c>
      <c r="N198" s="189"/>
      <c r="O198" s="130">
        <f>IF(Principal!$D$30="Anual",IF(MOD(B198+1,12)=0,VLOOKUP(M198,'Flujos Anuales'!$B$8:$K$39,9),0),VLOOKUP(M198,'Flujos Anuales'!$B$8:$K$39,9)/12)</f>
        <v>406.94437174774038</v>
      </c>
      <c r="P198" s="120">
        <f>VLOOKUP(M198,'Flujos Anuales'!$B$8:$K$39,10)/12</f>
        <v>40.343671199107469</v>
      </c>
      <c r="Q198" s="120">
        <f t="shared" si="25"/>
        <v>2352.7258517180517</v>
      </c>
    </row>
    <row r="199" spans="2:17" x14ac:dyDescent="0.35">
      <c r="B199" s="10">
        <v>185</v>
      </c>
      <c r="C199" s="11">
        <f t="shared" si="19"/>
        <v>1517.9455240683837</v>
      </c>
      <c r="D199" s="11">
        <f t="shared" si="20"/>
        <v>972.59472583055936</v>
      </c>
      <c r="E199" s="11">
        <f t="shared" si="26"/>
        <v>545.35079823782439</v>
      </c>
      <c r="F199" s="11">
        <f t="shared" si="27"/>
        <v>166185.17362985804</v>
      </c>
      <c r="H199" s="129">
        <f>IF(Principal!$D$25="Anual",IF(MOD(B199+1,12)=0,$W$2*((1+$W$3)^M199),0),$W$2*((1+$W$3)^M199)/12)</f>
        <v>387.4922847028202</v>
      </c>
      <c r="I199" s="68">
        <f t="shared" si="21"/>
        <v>2152.609733771204</v>
      </c>
      <c r="J199" s="43">
        <f>SUM($I$14:I199)</f>
        <v>394582.95114198711</v>
      </c>
      <c r="K199" s="11">
        <f t="shared" si="22"/>
        <v>0</v>
      </c>
      <c r="L199" s="5">
        <f t="shared" si="23"/>
        <v>1905.4378087712039</v>
      </c>
      <c r="M199" s="10">
        <f t="shared" si="24"/>
        <v>15</v>
      </c>
      <c r="N199" s="189"/>
      <c r="O199" s="130">
        <f>IF(Principal!$D$30="Anual",IF(MOD(B199+1,12)=0,VLOOKUP(M199,'Flujos Anuales'!$B$8:$K$39,9),0),VLOOKUP(M199,'Flujos Anuales'!$B$8:$K$39,9)/12)</f>
        <v>406.94437174774038</v>
      </c>
      <c r="P199" s="120">
        <f>VLOOKUP(M199,'Flujos Anuales'!$B$8:$K$39,10)/12</f>
        <v>40.343671199107469</v>
      </c>
      <c r="Q199" s="120">
        <f t="shared" si="25"/>
        <v>2352.7258517180517</v>
      </c>
    </row>
    <row r="200" spans="2:17" x14ac:dyDescent="0.35">
      <c r="B200" s="10">
        <v>186</v>
      </c>
      <c r="C200" s="11">
        <f t="shared" si="19"/>
        <v>1517.9455240683837</v>
      </c>
      <c r="D200" s="11">
        <f t="shared" si="20"/>
        <v>969.41351284083862</v>
      </c>
      <c r="E200" s="11">
        <f t="shared" si="26"/>
        <v>548.53201122754513</v>
      </c>
      <c r="F200" s="11">
        <f t="shared" si="27"/>
        <v>165636.6416186305</v>
      </c>
      <c r="H200" s="129">
        <f>IF(Principal!$D$25="Anual",IF(MOD(B200+1,12)=0,$W$2*((1+$W$3)^M200),0),$W$2*((1+$W$3)^M200)/12)</f>
        <v>387.4922847028202</v>
      </c>
      <c r="I200" s="68">
        <f t="shared" si="21"/>
        <v>2152.609733771204</v>
      </c>
      <c r="J200" s="43">
        <f>SUM($I$14:I200)</f>
        <v>396735.5608757583</v>
      </c>
      <c r="K200" s="11">
        <f t="shared" si="22"/>
        <v>0</v>
      </c>
      <c r="L200" s="5">
        <f t="shared" si="23"/>
        <v>1905.4378087712039</v>
      </c>
      <c r="M200" s="10">
        <f t="shared" si="24"/>
        <v>15</v>
      </c>
      <c r="N200" s="189"/>
      <c r="O200" s="130">
        <f>IF(Principal!$D$30="Anual",IF(MOD(B200+1,12)=0,VLOOKUP(M200,'Flujos Anuales'!$B$8:$K$39,9),0),VLOOKUP(M200,'Flujos Anuales'!$B$8:$K$39,9)/12)</f>
        <v>406.94437174774038</v>
      </c>
      <c r="P200" s="120">
        <f>VLOOKUP(M200,'Flujos Anuales'!$B$8:$K$39,10)/12</f>
        <v>40.343671199107469</v>
      </c>
      <c r="Q200" s="120">
        <f t="shared" si="25"/>
        <v>2352.7258517180517</v>
      </c>
    </row>
    <row r="201" spans="2:17" x14ac:dyDescent="0.35">
      <c r="B201" s="10">
        <v>187</v>
      </c>
      <c r="C201" s="11">
        <f t="shared" si="19"/>
        <v>1517.9455240683837</v>
      </c>
      <c r="D201" s="11">
        <f t="shared" si="20"/>
        <v>966.2137427753446</v>
      </c>
      <c r="E201" s="11">
        <f t="shared" si="26"/>
        <v>551.73178129303915</v>
      </c>
      <c r="F201" s="11">
        <f t="shared" si="27"/>
        <v>165084.90983733747</v>
      </c>
      <c r="H201" s="129">
        <f>IF(Principal!$D$25="Anual",IF(MOD(B201+1,12)=0,$W$2*((1+$W$3)^M201),0),$W$2*((1+$W$3)^M201)/12)</f>
        <v>387.4922847028202</v>
      </c>
      <c r="I201" s="68">
        <f t="shared" si="21"/>
        <v>2152.609733771204</v>
      </c>
      <c r="J201" s="43">
        <f>SUM($I$14:I201)</f>
        <v>398888.17060952948</v>
      </c>
      <c r="K201" s="11">
        <f t="shared" si="22"/>
        <v>0</v>
      </c>
      <c r="L201" s="5">
        <f t="shared" si="23"/>
        <v>1905.4378087712039</v>
      </c>
      <c r="M201" s="10">
        <f t="shared" si="24"/>
        <v>15</v>
      </c>
      <c r="N201" s="189"/>
      <c r="O201" s="130">
        <f>IF(Principal!$D$30="Anual",IF(MOD(B201+1,12)=0,VLOOKUP(M201,'Flujos Anuales'!$B$8:$K$39,9),0),VLOOKUP(M201,'Flujos Anuales'!$B$8:$K$39,9)/12)</f>
        <v>406.94437174774038</v>
      </c>
      <c r="P201" s="120">
        <f>VLOOKUP(M201,'Flujos Anuales'!$B$8:$K$39,10)/12</f>
        <v>40.343671199107469</v>
      </c>
      <c r="Q201" s="120">
        <f t="shared" si="25"/>
        <v>2352.7258517180517</v>
      </c>
    </row>
    <row r="202" spans="2:17" x14ac:dyDescent="0.35">
      <c r="B202" s="10">
        <v>188</v>
      </c>
      <c r="C202" s="11">
        <f t="shared" si="19"/>
        <v>1517.9455240683837</v>
      </c>
      <c r="D202" s="11">
        <f t="shared" si="20"/>
        <v>962.99530738446867</v>
      </c>
      <c r="E202" s="11">
        <f t="shared" si="26"/>
        <v>554.95021668391507</v>
      </c>
      <c r="F202" s="11">
        <f t="shared" si="27"/>
        <v>164529.95962065356</v>
      </c>
      <c r="H202" s="129">
        <f>IF(Principal!$D$25="Anual",IF(MOD(B202+1,12)=0,$W$2*((1+$W$3)^M202),0),$W$2*((1+$W$3)^M202)/12)</f>
        <v>387.4922847028202</v>
      </c>
      <c r="I202" s="68">
        <f t="shared" si="21"/>
        <v>2152.609733771204</v>
      </c>
      <c r="J202" s="43">
        <f>SUM($I$14:I202)</f>
        <v>401040.78034330066</v>
      </c>
      <c r="K202" s="11">
        <f t="shared" si="22"/>
        <v>0</v>
      </c>
      <c r="L202" s="5">
        <f t="shared" si="23"/>
        <v>1905.4378087712039</v>
      </c>
      <c r="M202" s="10">
        <f t="shared" si="24"/>
        <v>15</v>
      </c>
      <c r="N202" s="189"/>
      <c r="O202" s="130">
        <f>IF(Principal!$D$30="Anual",IF(MOD(B202+1,12)=0,VLOOKUP(M202,'Flujos Anuales'!$B$8:$K$39,9),0),VLOOKUP(M202,'Flujos Anuales'!$B$8:$K$39,9)/12)</f>
        <v>406.94437174774038</v>
      </c>
      <c r="P202" s="120">
        <f>VLOOKUP(M202,'Flujos Anuales'!$B$8:$K$39,10)/12</f>
        <v>40.343671199107469</v>
      </c>
      <c r="Q202" s="120">
        <f t="shared" si="25"/>
        <v>2352.7258517180517</v>
      </c>
    </row>
    <row r="203" spans="2:17" x14ac:dyDescent="0.35">
      <c r="B203" s="10">
        <v>189</v>
      </c>
      <c r="C203" s="11">
        <f t="shared" si="19"/>
        <v>1517.9455240683837</v>
      </c>
      <c r="D203" s="11">
        <f t="shared" si="20"/>
        <v>959.75809778714586</v>
      </c>
      <c r="E203" s="11">
        <f t="shared" si="26"/>
        <v>558.18742628123789</v>
      </c>
      <c r="F203" s="11">
        <f t="shared" si="27"/>
        <v>163971.77219437232</v>
      </c>
      <c r="H203" s="129">
        <f>IF(Principal!$D$25="Anual",IF(MOD(B203+1,12)=0,$W$2*((1+$W$3)^M203),0),$W$2*((1+$W$3)^M203)/12)</f>
        <v>387.4922847028202</v>
      </c>
      <c r="I203" s="68">
        <f t="shared" si="21"/>
        <v>2152.609733771204</v>
      </c>
      <c r="J203" s="43">
        <f>SUM($I$14:I203)</f>
        <v>403193.39007707185</v>
      </c>
      <c r="K203" s="11">
        <f t="shared" si="22"/>
        <v>0</v>
      </c>
      <c r="L203" s="5">
        <f t="shared" si="23"/>
        <v>1905.4378087712039</v>
      </c>
      <c r="M203" s="10">
        <f t="shared" si="24"/>
        <v>15</v>
      </c>
      <c r="N203" s="189"/>
      <c r="O203" s="130">
        <f>IF(Principal!$D$30="Anual",IF(MOD(B203+1,12)=0,VLOOKUP(M203,'Flujos Anuales'!$B$8:$K$39,9),0),VLOOKUP(M203,'Flujos Anuales'!$B$8:$K$39,9)/12)</f>
        <v>406.94437174774038</v>
      </c>
      <c r="P203" s="120">
        <f>VLOOKUP(M203,'Flujos Anuales'!$B$8:$K$39,10)/12</f>
        <v>40.343671199107469</v>
      </c>
      <c r="Q203" s="120">
        <f t="shared" si="25"/>
        <v>2352.7258517180517</v>
      </c>
    </row>
    <row r="204" spans="2:17" x14ac:dyDescent="0.35">
      <c r="B204" s="10">
        <v>190</v>
      </c>
      <c r="C204" s="11">
        <f t="shared" si="19"/>
        <v>1517.9455240683837</v>
      </c>
      <c r="D204" s="11">
        <f t="shared" si="20"/>
        <v>956.5020044671719</v>
      </c>
      <c r="E204" s="11">
        <f t="shared" si="26"/>
        <v>561.44351960121185</v>
      </c>
      <c r="F204" s="11">
        <f t="shared" si="27"/>
        <v>163410.3286747711</v>
      </c>
      <c r="H204" s="129">
        <f>IF(Principal!$D$25="Anual",IF(MOD(B204+1,12)=0,$W$2*((1+$W$3)^M204),0),$W$2*((1+$W$3)^M204)/12)</f>
        <v>387.4922847028202</v>
      </c>
      <c r="I204" s="68">
        <f t="shared" si="21"/>
        <v>2152.609733771204</v>
      </c>
      <c r="J204" s="43">
        <f>SUM($I$14:I204)</f>
        <v>405345.99981084303</v>
      </c>
      <c r="K204" s="11">
        <f t="shared" si="22"/>
        <v>0</v>
      </c>
      <c r="L204" s="5">
        <f t="shared" si="23"/>
        <v>1905.4378087712039</v>
      </c>
      <c r="M204" s="10">
        <f t="shared" si="24"/>
        <v>15</v>
      </c>
      <c r="N204" s="189"/>
      <c r="O204" s="130">
        <f>IF(Principal!$D$30="Anual",IF(MOD(B204+1,12)=0,VLOOKUP(M204,'Flujos Anuales'!$B$8:$K$39,9),0),VLOOKUP(M204,'Flujos Anuales'!$B$8:$K$39,9)/12)</f>
        <v>406.94437174774038</v>
      </c>
      <c r="P204" s="120">
        <f>VLOOKUP(M204,'Flujos Anuales'!$B$8:$K$39,10)/12</f>
        <v>40.343671199107469</v>
      </c>
      <c r="Q204" s="120">
        <f t="shared" si="25"/>
        <v>2352.7258517180517</v>
      </c>
    </row>
    <row r="205" spans="2:17" x14ac:dyDescent="0.35">
      <c r="B205" s="10">
        <v>191</v>
      </c>
      <c r="C205" s="11">
        <f t="shared" si="19"/>
        <v>1517.9455240683837</v>
      </c>
      <c r="D205" s="11">
        <f t="shared" si="20"/>
        <v>953.22691726949813</v>
      </c>
      <c r="E205" s="11">
        <f t="shared" si="26"/>
        <v>564.71860679888562</v>
      </c>
      <c r="F205" s="11">
        <f t="shared" si="27"/>
        <v>162845.61006797221</v>
      </c>
      <c r="H205" s="129">
        <f>IF(Principal!$D$25="Anual",IF(MOD(B205+1,12)=0,$W$2*((1+$W$3)^M205),0),$W$2*((1+$W$3)^M205)/12)</f>
        <v>387.4922847028202</v>
      </c>
      <c r="I205" s="68">
        <f t="shared" si="21"/>
        <v>2152.609733771204</v>
      </c>
      <c r="J205" s="43">
        <f>SUM($I$14:I205)</f>
        <v>407498.60954461421</v>
      </c>
      <c r="K205" s="11">
        <f t="shared" si="22"/>
        <v>0</v>
      </c>
      <c r="L205" s="5">
        <f t="shared" si="23"/>
        <v>1905.4378087712039</v>
      </c>
      <c r="M205" s="10">
        <f t="shared" si="24"/>
        <v>15</v>
      </c>
      <c r="N205" s="189"/>
      <c r="O205" s="130">
        <f>IF(Principal!$D$30="Anual",IF(MOD(B205+1,12)=0,VLOOKUP(M205,'Flujos Anuales'!$B$8:$K$39,9),0),VLOOKUP(M205,'Flujos Anuales'!$B$8:$K$39,9)/12)</f>
        <v>406.94437174774038</v>
      </c>
      <c r="P205" s="120">
        <f>VLOOKUP(M205,'Flujos Anuales'!$B$8:$K$39,10)/12</f>
        <v>40.343671199107469</v>
      </c>
      <c r="Q205" s="120">
        <f t="shared" si="25"/>
        <v>2352.7258517180517</v>
      </c>
    </row>
    <row r="206" spans="2:17" x14ac:dyDescent="0.35">
      <c r="B206" s="10">
        <v>192</v>
      </c>
      <c r="C206" s="11">
        <f t="shared" si="19"/>
        <v>1517.9455240683837</v>
      </c>
      <c r="D206" s="11">
        <f t="shared" si="20"/>
        <v>949.93272539650468</v>
      </c>
      <c r="E206" s="11">
        <f t="shared" si="26"/>
        <v>568.01279867187907</v>
      </c>
      <c r="F206" s="11">
        <f t="shared" si="27"/>
        <v>162277.59726930034</v>
      </c>
      <c r="H206" s="129">
        <f>IF(Principal!$D$25="Anual",IF(MOD(B206+1,12)=0,$W$2*((1+$W$3)^M206),0),$W$2*((1+$W$3)^M206)/12)</f>
        <v>390.15361630579872</v>
      </c>
      <c r="I206" s="68">
        <f t="shared" si="21"/>
        <v>2155.2710653741824</v>
      </c>
      <c r="J206" s="43">
        <f>SUM($I$14:I206)</f>
        <v>409653.88060998841</v>
      </c>
      <c r="K206" s="11">
        <f t="shared" si="22"/>
        <v>0</v>
      </c>
      <c r="L206" s="5">
        <f t="shared" si="23"/>
        <v>1908.0991403741823</v>
      </c>
      <c r="M206" s="10">
        <f t="shared" si="24"/>
        <v>16</v>
      </c>
      <c r="N206" s="189">
        <f>SUM(L206:L217)</f>
        <v>22897.189684490189</v>
      </c>
      <c r="O206" s="130">
        <f>IF(Principal!$D$30="Anual",IF(MOD(B206+1,12)=0,VLOOKUP(M206,'Flujos Anuales'!$B$8:$K$39,9),0),VLOOKUP(M206,'Flujos Anuales'!$B$8:$K$39,9)/12)</f>
        <v>425.53150111060017</v>
      </c>
      <c r="P206" s="120">
        <f>VLOOKUP(M206,'Flujos Anuales'!$B$8:$K$39,10)/12</f>
        <v>40.747107911098546</v>
      </c>
      <c r="Q206" s="120">
        <f t="shared" si="25"/>
        <v>2374.377749395881</v>
      </c>
    </row>
    <row r="207" spans="2:17" x14ac:dyDescent="0.35">
      <c r="B207" s="10">
        <v>193</v>
      </c>
      <c r="C207" s="11">
        <f t="shared" ref="C207:C270" si="28">$T$9</f>
        <v>1517.9455240683837</v>
      </c>
      <c r="D207" s="11">
        <f t="shared" ref="D207:D270" si="29">F206*$T$4</f>
        <v>946.619317404252</v>
      </c>
      <c r="E207" s="11">
        <f t="shared" si="26"/>
        <v>571.32620666413175</v>
      </c>
      <c r="F207" s="11">
        <f t="shared" si="27"/>
        <v>161706.27106263622</v>
      </c>
      <c r="H207" s="129">
        <f>IF(Principal!$D$25="Anual",IF(MOD(B207+1,12)=0,$W$2*((1+$W$3)^M207),0),$W$2*((1+$W$3)^M207)/12)</f>
        <v>390.15361630579872</v>
      </c>
      <c r="I207" s="68">
        <f t="shared" ref="I207:I270" si="30">C207+H207+$W$5</f>
        <v>2155.2710653741824</v>
      </c>
      <c r="J207" s="43">
        <f>SUM($I$14:I207)</f>
        <v>411809.15167536261</v>
      </c>
      <c r="K207" s="11">
        <f t="shared" ref="K207:K270" si="31">IF(J207&gt;=$W$6,0,$W$5)</f>
        <v>0</v>
      </c>
      <c r="L207" s="5">
        <f t="shared" ref="L207:L270" si="32">IF(K207=$W$5,I207,I207-$W$5)</f>
        <v>1908.0991403741823</v>
      </c>
      <c r="M207" s="10">
        <f t="shared" ref="M207:M270" si="33">ROUNDDOWN(B207/12,0)</f>
        <v>16</v>
      </c>
      <c r="N207" s="189"/>
      <c r="O207" s="130">
        <f>IF(Principal!$D$30="Anual",IF(MOD(B207+1,12)=0,VLOOKUP(M207,'Flujos Anuales'!$B$8:$K$39,9),0),VLOOKUP(M207,'Flujos Anuales'!$B$8:$K$39,9)/12)</f>
        <v>425.53150111060017</v>
      </c>
      <c r="P207" s="120">
        <f>VLOOKUP(M207,'Flujos Anuales'!$B$8:$K$39,10)/12</f>
        <v>40.747107911098546</v>
      </c>
      <c r="Q207" s="120">
        <f t="shared" ref="Q207:Q270" si="34">L207+O207+P207</f>
        <v>2374.377749395881</v>
      </c>
    </row>
    <row r="208" spans="2:17" x14ac:dyDescent="0.35">
      <c r="B208" s="10">
        <v>194</v>
      </c>
      <c r="C208" s="11">
        <f t="shared" si="28"/>
        <v>1517.9455240683837</v>
      </c>
      <c r="D208" s="11">
        <f t="shared" si="29"/>
        <v>943.28658119871136</v>
      </c>
      <c r="E208" s="11">
        <f t="shared" ref="E208:E271" si="35">C208-D208</f>
        <v>574.65894286967239</v>
      </c>
      <c r="F208" s="11">
        <f t="shared" ref="F208:F271" si="36">F207-E208</f>
        <v>161131.61211976656</v>
      </c>
      <c r="H208" s="129">
        <f>IF(Principal!$D$25="Anual",IF(MOD(B208+1,12)=0,$W$2*((1+$W$3)^M208),0),$W$2*((1+$W$3)^M208)/12)</f>
        <v>390.15361630579872</v>
      </c>
      <c r="I208" s="68">
        <f t="shared" si="30"/>
        <v>2155.2710653741824</v>
      </c>
      <c r="J208" s="43">
        <f>SUM($I$14:I208)</f>
        <v>413964.4227407368</v>
      </c>
      <c r="K208" s="11">
        <f t="shared" si="31"/>
        <v>0</v>
      </c>
      <c r="L208" s="5">
        <f t="shared" si="32"/>
        <v>1908.0991403741823</v>
      </c>
      <c r="M208" s="10">
        <f t="shared" si="33"/>
        <v>16</v>
      </c>
      <c r="N208" s="189"/>
      <c r="O208" s="130">
        <f>IF(Principal!$D$30="Anual",IF(MOD(B208+1,12)=0,VLOOKUP(M208,'Flujos Anuales'!$B$8:$K$39,9),0),VLOOKUP(M208,'Flujos Anuales'!$B$8:$K$39,9)/12)</f>
        <v>425.53150111060017</v>
      </c>
      <c r="P208" s="120">
        <f>VLOOKUP(M208,'Flujos Anuales'!$B$8:$K$39,10)/12</f>
        <v>40.747107911098546</v>
      </c>
      <c r="Q208" s="120">
        <f t="shared" si="34"/>
        <v>2374.377749395881</v>
      </c>
    </row>
    <row r="209" spans="2:17" x14ac:dyDescent="0.35">
      <c r="B209" s="10">
        <v>195</v>
      </c>
      <c r="C209" s="11">
        <f t="shared" si="28"/>
        <v>1517.9455240683837</v>
      </c>
      <c r="D209" s="11">
        <f t="shared" si="29"/>
        <v>939.93440403197167</v>
      </c>
      <c r="E209" s="11">
        <f t="shared" si="35"/>
        <v>578.01112003641208</v>
      </c>
      <c r="F209" s="11">
        <f t="shared" si="36"/>
        <v>160553.60099973014</v>
      </c>
      <c r="H209" s="129">
        <f>IF(Principal!$D$25="Anual",IF(MOD(B209+1,12)=0,$W$2*((1+$W$3)^M209),0),$W$2*((1+$W$3)^M209)/12)</f>
        <v>390.15361630579872</v>
      </c>
      <c r="I209" s="68">
        <f t="shared" si="30"/>
        <v>2155.2710653741824</v>
      </c>
      <c r="J209" s="43">
        <f>SUM($I$14:I209)</f>
        <v>416119.693806111</v>
      </c>
      <c r="K209" s="11">
        <f t="shared" si="31"/>
        <v>0</v>
      </c>
      <c r="L209" s="5">
        <f t="shared" si="32"/>
        <v>1908.0991403741823</v>
      </c>
      <c r="M209" s="10">
        <f t="shared" si="33"/>
        <v>16</v>
      </c>
      <c r="N209" s="189"/>
      <c r="O209" s="130">
        <f>IF(Principal!$D$30="Anual",IF(MOD(B209+1,12)=0,VLOOKUP(M209,'Flujos Anuales'!$B$8:$K$39,9),0),VLOOKUP(M209,'Flujos Anuales'!$B$8:$K$39,9)/12)</f>
        <v>425.53150111060017</v>
      </c>
      <c r="P209" s="120">
        <f>VLOOKUP(M209,'Flujos Anuales'!$B$8:$K$39,10)/12</f>
        <v>40.747107911098546</v>
      </c>
      <c r="Q209" s="120">
        <f t="shared" si="34"/>
        <v>2374.377749395881</v>
      </c>
    </row>
    <row r="210" spans="2:17" x14ac:dyDescent="0.35">
      <c r="B210" s="10">
        <v>196</v>
      </c>
      <c r="C210" s="11">
        <f t="shared" si="28"/>
        <v>1517.9455240683837</v>
      </c>
      <c r="D210" s="11">
        <f t="shared" si="29"/>
        <v>936.56267249842585</v>
      </c>
      <c r="E210" s="11">
        <f t="shared" si="35"/>
        <v>581.38285156995789</v>
      </c>
      <c r="F210" s="11">
        <f t="shared" si="36"/>
        <v>159972.21814816017</v>
      </c>
      <c r="H210" s="129">
        <f>IF(Principal!$D$25="Anual",IF(MOD(B210+1,12)=0,$W$2*((1+$W$3)^M210),0),$W$2*((1+$W$3)^M210)/12)</f>
        <v>390.15361630579872</v>
      </c>
      <c r="I210" s="68">
        <f t="shared" si="30"/>
        <v>2155.2710653741824</v>
      </c>
      <c r="J210" s="43">
        <f>SUM($I$14:I210)</f>
        <v>418274.96487148519</v>
      </c>
      <c r="K210" s="11">
        <f t="shared" si="31"/>
        <v>0</v>
      </c>
      <c r="L210" s="5">
        <f t="shared" si="32"/>
        <v>1908.0991403741823</v>
      </c>
      <c r="M210" s="10">
        <f t="shared" si="33"/>
        <v>16</v>
      </c>
      <c r="N210" s="189"/>
      <c r="O210" s="130">
        <f>IF(Principal!$D$30="Anual",IF(MOD(B210+1,12)=0,VLOOKUP(M210,'Flujos Anuales'!$B$8:$K$39,9),0),VLOOKUP(M210,'Flujos Anuales'!$B$8:$K$39,9)/12)</f>
        <v>425.53150111060017</v>
      </c>
      <c r="P210" s="120">
        <f>VLOOKUP(M210,'Flujos Anuales'!$B$8:$K$39,10)/12</f>
        <v>40.747107911098546</v>
      </c>
      <c r="Q210" s="120">
        <f t="shared" si="34"/>
        <v>2374.377749395881</v>
      </c>
    </row>
    <row r="211" spans="2:17" x14ac:dyDescent="0.35">
      <c r="B211" s="10">
        <v>197</v>
      </c>
      <c r="C211" s="11">
        <f t="shared" si="28"/>
        <v>1517.9455240683837</v>
      </c>
      <c r="D211" s="11">
        <f t="shared" si="29"/>
        <v>933.1712725309344</v>
      </c>
      <c r="E211" s="11">
        <f t="shared" si="35"/>
        <v>584.77425153744935</v>
      </c>
      <c r="F211" s="11">
        <f t="shared" si="36"/>
        <v>159387.44389662272</v>
      </c>
      <c r="H211" s="129">
        <f>IF(Principal!$D$25="Anual",IF(MOD(B211+1,12)=0,$W$2*((1+$W$3)^M211),0),$W$2*((1+$W$3)^M211)/12)</f>
        <v>390.15361630579872</v>
      </c>
      <c r="I211" s="68">
        <f t="shared" si="30"/>
        <v>2155.2710653741824</v>
      </c>
      <c r="J211" s="43">
        <f>SUM($I$14:I211)</f>
        <v>420430.23593685939</v>
      </c>
      <c r="K211" s="11">
        <f t="shared" si="31"/>
        <v>0</v>
      </c>
      <c r="L211" s="5">
        <f t="shared" si="32"/>
        <v>1908.0991403741823</v>
      </c>
      <c r="M211" s="10">
        <f t="shared" si="33"/>
        <v>16</v>
      </c>
      <c r="N211" s="189"/>
      <c r="O211" s="130">
        <f>IF(Principal!$D$30="Anual",IF(MOD(B211+1,12)=0,VLOOKUP(M211,'Flujos Anuales'!$B$8:$K$39,9),0),VLOOKUP(M211,'Flujos Anuales'!$B$8:$K$39,9)/12)</f>
        <v>425.53150111060017</v>
      </c>
      <c r="P211" s="120">
        <f>VLOOKUP(M211,'Flujos Anuales'!$B$8:$K$39,10)/12</f>
        <v>40.747107911098546</v>
      </c>
      <c r="Q211" s="120">
        <f t="shared" si="34"/>
        <v>2374.377749395881</v>
      </c>
    </row>
    <row r="212" spans="2:17" x14ac:dyDescent="0.35">
      <c r="B212" s="10">
        <v>198</v>
      </c>
      <c r="C212" s="11">
        <f t="shared" si="28"/>
        <v>1517.9455240683837</v>
      </c>
      <c r="D212" s="11">
        <f t="shared" si="29"/>
        <v>929.7600893969659</v>
      </c>
      <c r="E212" s="11">
        <f t="shared" si="35"/>
        <v>588.18543467141785</v>
      </c>
      <c r="F212" s="11">
        <f t="shared" si="36"/>
        <v>158799.25846195131</v>
      </c>
      <c r="H212" s="129">
        <f>IF(Principal!$D$25="Anual",IF(MOD(B212+1,12)=0,$W$2*((1+$W$3)^M212),0),$W$2*((1+$W$3)^M212)/12)</f>
        <v>390.15361630579872</v>
      </c>
      <c r="I212" s="68">
        <f t="shared" si="30"/>
        <v>2155.2710653741824</v>
      </c>
      <c r="J212" s="43">
        <f>SUM($I$14:I212)</f>
        <v>422585.50700223359</v>
      </c>
      <c r="K212" s="11">
        <f t="shared" si="31"/>
        <v>0</v>
      </c>
      <c r="L212" s="5">
        <f t="shared" si="32"/>
        <v>1908.0991403741823</v>
      </c>
      <c r="M212" s="10">
        <f t="shared" si="33"/>
        <v>16</v>
      </c>
      <c r="N212" s="189"/>
      <c r="O212" s="130">
        <f>IF(Principal!$D$30="Anual",IF(MOD(B212+1,12)=0,VLOOKUP(M212,'Flujos Anuales'!$B$8:$K$39,9),0),VLOOKUP(M212,'Flujos Anuales'!$B$8:$K$39,9)/12)</f>
        <v>425.53150111060017</v>
      </c>
      <c r="P212" s="120">
        <f>VLOOKUP(M212,'Flujos Anuales'!$B$8:$K$39,10)/12</f>
        <v>40.747107911098546</v>
      </c>
      <c r="Q212" s="120">
        <f t="shared" si="34"/>
        <v>2374.377749395881</v>
      </c>
    </row>
    <row r="213" spans="2:17" x14ac:dyDescent="0.35">
      <c r="B213" s="10">
        <v>199</v>
      </c>
      <c r="C213" s="11">
        <f t="shared" si="28"/>
        <v>1517.9455240683837</v>
      </c>
      <c r="D213" s="11">
        <f t="shared" si="29"/>
        <v>926.32900769471598</v>
      </c>
      <c r="E213" s="11">
        <f t="shared" si="35"/>
        <v>591.61651637366776</v>
      </c>
      <c r="F213" s="11">
        <f t="shared" si="36"/>
        <v>158207.64194557763</v>
      </c>
      <c r="H213" s="129">
        <f>IF(Principal!$D$25="Anual",IF(MOD(B213+1,12)=0,$W$2*((1+$W$3)^M213),0),$W$2*((1+$W$3)^M213)/12)</f>
        <v>390.15361630579872</v>
      </c>
      <c r="I213" s="68">
        <f t="shared" si="30"/>
        <v>2155.2710653741824</v>
      </c>
      <c r="J213" s="43">
        <f>SUM($I$14:I213)</f>
        <v>424740.77806760778</v>
      </c>
      <c r="K213" s="11">
        <f t="shared" si="31"/>
        <v>0</v>
      </c>
      <c r="L213" s="5">
        <f t="shared" si="32"/>
        <v>1908.0991403741823</v>
      </c>
      <c r="M213" s="10">
        <f t="shared" si="33"/>
        <v>16</v>
      </c>
      <c r="N213" s="189"/>
      <c r="O213" s="130">
        <f>IF(Principal!$D$30="Anual",IF(MOD(B213+1,12)=0,VLOOKUP(M213,'Flujos Anuales'!$B$8:$K$39,9),0),VLOOKUP(M213,'Flujos Anuales'!$B$8:$K$39,9)/12)</f>
        <v>425.53150111060017</v>
      </c>
      <c r="P213" s="120">
        <f>VLOOKUP(M213,'Flujos Anuales'!$B$8:$K$39,10)/12</f>
        <v>40.747107911098546</v>
      </c>
      <c r="Q213" s="120">
        <f t="shared" si="34"/>
        <v>2374.377749395881</v>
      </c>
    </row>
    <row r="214" spans="2:17" x14ac:dyDescent="0.35">
      <c r="B214" s="10">
        <v>200</v>
      </c>
      <c r="C214" s="11">
        <f t="shared" si="28"/>
        <v>1517.9455240683837</v>
      </c>
      <c r="D214" s="11">
        <f t="shared" si="29"/>
        <v>922.87791134920292</v>
      </c>
      <c r="E214" s="11">
        <f t="shared" si="35"/>
        <v>595.06761271918083</v>
      </c>
      <c r="F214" s="11">
        <f t="shared" si="36"/>
        <v>157612.57433285846</v>
      </c>
      <c r="H214" s="129">
        <f>IF(Principal!$D$25="Anual",IF(MOD(B214+1,12)=0,$W$2*((1+$W$3)^M214),0),$W$2*((1+$W$3)^M214)/12)</f>
        <v>390.15361630579872</v>
      </c>
      <c r="I214" s="68">
        <f t="shared" si="30"/>
        <v>2155.2710653741824</v>
      </c>
      <c r="J214" s="43">
        <f>SUM($I$14:I214)</f>
        <v>426896.04913298198</v>
      </c>
      <c r="K214" s="11">
        <f t="shared" si="31"/>
        <v>0</v>
      </c>
      <c r="L214" s="5">
        <f t="shared" si="32"/>
        <v>1908.0991403741823</v>
      </c>
      <c r="M214" s="10">
        <f t="shared" si="33"/>
        <v>16</v>
      </c>
      <c r="N214" s="189"/>
      <c r="O214" s="130">
        <f>IF(Principal!$D$30="Anual",IF(MOD(B214+1,12)=0,VLOOKUP(M214,'Flujos Anuales'!$B$8:$K$39,9),0),VLOOKUP(M214,'Flujos Anuales'!$B$8:$K$39,9)/12)</f>
        <v>425.53150111060017</v>
      </c>
      <c r="P214" s="120">
        <f>VLOOKUP(M214,'Flujos Anuales'!$B$8:$K$39,10)/12</f>
        <v>40.747107911098546</v>
      </c>
      <c r="Q214" s="120">
        <f t="shared" si="34"/>
        <v>2374.377749395881</v>
      </c>
    </row>
    <row r="215" spans="2:17" x14ac:dyDescent="0.35">
      <c r="B215" s="10">
        <v>201</v>
      </c>
      <c r="C215" s="11">
        <f t="shared" si="28"/>
        <v>1517.9455240683837</v>
      </c>
      <c r="D215" s="11">
        <f t="shared" si="29"/>
        <v>919.40668360834104</v>
      </c>
      <c r="E215" s="11">
        <f t="shared" si="35"/>
        <v>598.53884046004271</v>
      </c>
      <c r="F215" s="11">
        <f t="shared" si="36"/>
        <v>157014.03549239843</v>
      </c>
      <c r="H215" s="129">
        <f>IF(Principal!$D$25="Anual",IF(MOD(B215+1,12)=0,$W$2*((1+$W$3)^M215),0),$W$2*((1+$W$3)^M215)/12)</f>
        <v>390.15361630579872</v>
      </c>
      <c r="I215" s="68">
        <f t="shared" si="30"/>
        <v>2155.2710653741824</v>
      </c>
      <c r="J215" s="43">
        <f>SUM($I$14:I215)</f>
        <v>429051.32019835617</v>
      </c>
      <c r="K215" s="11">
        <f t="shared" si="31"/>
        <v>0</v>
      </c>
      <c r="L215" s="5">
        <f t="shared" si="32"/>
        <v>1908.0991403741823</v>
      </c>
      <c r="M215" s="10">
        <f t="shared" si="33"/>
        <v>16</v>
      </c>
      <c r="N215" s="189"/>
      <c r="O215" s="130">
        <f>IF(Principal!$D$30="Anual",IF(MOD(B215+1,12)=0,VLOOKUP(M215,'Flujos Anuales'!$B$8:$K$39,9),0),VLOOKUP(M215,'Flujos Anuales'!$B$8:$K$39,9)/12)</f>
        <v>425.53150111060017</v>
      </c>
      <c r="P215" s="120">
        <f>VLOOKUP(M215,'Flujos Anuales'!$B$8:$K$39,10)/12</f>
        <v>40.747107911098546</v>
      </c>
      <c r="Q215" s="120">
        <f t="shared" si="34"/>
        <v>2374.377749395881</v>
      </c>
    </row>
    <row r="216" spans="2:17" x14ac:dyDescent="0.35">
      <c r="B216" s="10">
        <v>202</v>
      </c>
      <c r="C216" s="11">
        <f t="shared" si="28"/>
        <v>1517.9455240683837</v>
      </c>
      <c r="D216" s="11">
        <f t="shared" si="29"/>
        <v>915.91520703899084</v>
      </c>
      <c r="E216" s="11">
        <f t="shared" si="35"/>
        <v>602.0303170293929</v>
      </c>
      <c r="F216" s="11">
        <f t="shared" si="36"/>
        <v>156412.00517536903</v>
      </c>
      <c r="H216" s="129">
        <f>IF(Principal!$D$25="Anual",IF(MOD(B216+1,12)=0,$W$2*((1+$W$3)^M216),0),$W$2*((1+$W$3)^M216)/12)</f>
        <v>390.15361630579872</v>
      </c>
      <c r="I216" s="68">
        <f t="shared" si="30"/>
        <v>2155.2710653741824</v>
      </c>
      <c r="J216" s="43">
        <f>SUM($I$14:I216)</f>
        <v>431206.59126373037</v>
      </c>
      <c r="K216" s="11">
        <f t="shared" si="31"/>
        <v>0</v>
      </c>
      <c r="L216" s="5">
        <f t="shared" si="32"/>
        <v>1908.0991403741823</v>
      </c>
      <c r="M216" s="10">
        <f t="shared" si="33"/>
        <v>16</v>
      </c>
      <c r="N216" s="189"/>
      <c r="O216" s="130">
        <f>IF(Principal!$D$30="Anual",IF(MOD(B216+1,12)=0,VLOOKUP(M216,'Flujos Anuales'!$B$8:$K$39,9),0),VLOOKUP(M216,'Flujos Anuales'!$B$8:$K$39,9)/12)</f>
        <v>425.53150111060017</v>
      </c>
      <c r="P216" s="120">
        <f>VLOOKUP(M216,'Flujos Anuales'!$B$8:$K$39,10)/12</f>
        <v>40.747107911098546</v>
      </c>
      <c r="Q216" s="120">
        <f t="shared" si="34"/>
        <v>2374.377749395881</v>
      </c>
    </row>
    <row r="217" spans="2:17" x14ac:dyDescent="0.35">
      <c r="B217" s="10">
        <v>203</v>
      </c>
      <c r="C217" s="11">
        <f t="shared" si="28"/>
        <v>1517.9455240683837</v>
      </c>
      <c r="D217" s="11">
        <f t="shared" si="29"/>
        <v>912.40336352298607</v>
      </c>
      <c r="E217" s="11">
        <f t="shared" si="35"/>
        <v>605.54216054539768</v>
      </c>
      <c r="F217" s="11">
        <f t="shared" si="36"/>
        <v>155806.46301482365</v>
      </c>
      <c r="H217" s="129">
        <f>IF(Principal!$D$25="Anual",IF(MOD(B217+1,12)=0,$W$2*((1+$W$3)^M217),0),$W$2*((1+$W$3)^M217)/12)</f>
        <v>390.15361630579872</v>
      </c>
      <c r="I217" s="68">
        <f t="shared" si="30"/>
        <v>2155.2710653741824</v>
      </c>
      <c r="J217" s="43">
        <f>SUM($I$14:I217)</f>
        <v>433361.86232910457</v>
      </c>
      <c r="K217" s="11">
        <f t="shared" si="31"/>
        <v>0</v>
      </c>
      <c r="L217" s="5">
        <f t="shared" si="32"/>
        <v>1908.0991403741823</v>
      </c>
      <c r="M217" s="10">
        <f t="shared" si="33"/>
        <v>16</v>
      </c>
      <c r="N217" s="189"/>
      <c r="O217" s="130">
        <f>IF(Principal!$D$30="Anual",IF(MOD(B217+1,12)=0,VLOOKUP(M217,'Flujos Anuales'!$B$8:$K$39,9),0),VLOOKUP(M217,'Flujos Anuales'!$B$8:$K$39,9)/12)</f>
        <v>425.53150111060017</v>
      </c>
      <c r="P217" s="120">
        <f>VLOOKUP(M217,'Flujos Anuales'!$B$8:$K$39,10)/12</f>
        <v>40.747107911098546</v>
      </c>
      <c r="Q217" s="120">
        <f t="shared" si="34"/>
        <v>2374.377749395881</v>
      </c>
    </row>
    <row r="218" spans="2:17" x14ac:dyDescent="0.35">
      <c r="B218" s="10">
        <v>204</v>
      </c>
      <c r="C218" s="11">
        <f t="shared" si="28"/>
        <v>1517.9455240683837</v>
      </c>
      <c r="D218" s="11">
        <f t="shared" si="29"/>
        <v>908.87103425313796</v>
      </c>
      <c r="E218" s="11">
        <f t="shared" si="35"/>
        <v>609.07448981524578</v>
      </c>
      <c r="F218" s="11">
        <f t="shared" si="36"/>
        <v>155197.3885250084</v>
      </c>
      <c r="H218" s="129">
        <f>IF(Principal!$D$25="Anual",IF(MOD(B218+1,12)=0,$W$2*((1+$W$3)^M218),0),$W$2*((1+$W$3)^M218)/12)</f>
        <v>392.83322617180494</v>
      </c>
      <c r="I218" s="68">
        <f t="shared" si="30"/>
        <v>2157.9506752401885</v>
      </c>
      <c r="J218" s="43">
        <f>SUM($I$14:I218)</f>
        <v>435519.81300434476</v>
      </c>
      <c r="K218" s="11">
        <f t="shared" si="31"/>
        <v>0</v>
      </c>
      <c r="L218" s="5">
        <f t="shared" si="32"/>
        <v>1910.7787502401884</v>
      </c>
      <c r="M218" s="10">
        <f t="shared" si="33"/>
        <v>17</v>
      </c>
      <c r="N218" s="189">
        <f>SUM(L218:L229)</f>
        <v>22929.345002882259</v>
      </c>
      <c r="O218" s="130">
        <f>IF(Principal!$D$30="Anual",IF(MOD(B218+1,12)=0,VLOOKUP(M218,'Flujos Anuales'!$B$8:$K$39,9),0),VLOOKUP(M218,'Flujos Anuales'!$B$8:$K$39,9)/12)</f>
        <v>444.96759510336238</v>
      </c>
      <c r="P218" s="120">
        <f>VLOOKUP(M218,'Flujos Anuales'!$B$8:$K$39,10)/12</f>
        <v>41.154578990209536</v>
      </c>
      <c r="Q218" s="120">
        <f t="shared" si="34"/>
        <v>2396.9009243337605</v>
      </c>
    </row>
    <row r="219" spans="2:17" x14ac:dyDescent="0.35">
      <c r="B219" s="10">
        <v>205</v>
      </c>
      <c r="C219" s="11">
        <f t="shared" si="28"/>
        <v>1517.9455240683837</v>
      </c>
      <c r="D219" s="11">
        <f t="shared" si="29"/>
        <v>905.31809972921565</v>
      </c>
      <c r="E219" s="11">
        <f t="shared" si="35"/>
        <v>612.6274243391681</v>
      </c>
      <c r="F219" s="11">
        <f t="shared" si="36"/>
        <v>154584.76110066922</v>
      </c>
      <c r="H219" s="129">
        <f>IF(Principal!$D$25="Anual",IF(MOD(B219+1,12)=0,$W$2*((1+$W$3)^M219),0),$W$2*((1+$W$3)^M219)/12)</f>
        <v>392.83322617180494</v>
      </c>
      <c r="I219" s="68">
        <f t="shared" si="30"/>
        <v>2157.9506752401885</v>
      </c>
      <c r="J219" s="43">
        <f>SUM($I$14:I219)</f>
        <v>437677.76367958495</v>
      </c>
      <c r="K219" s="11">
        <f t="shared" si="31"/>
        <v>0</v>
      </c>
      <c r="L219" s="5">
        <f t="shared" si="32"/>
        <v>1910.7787502401884</v>
      </c>
      <c r="M219" s="10">
        <f t="shared" si="33"/>
        <v>17</v>
      </c>
      <c r="N219" s="189"/>
      <c r="O219" s="130">
        <f>IF(Principal!$D$30="Anual",IF(MOD(B219+1,12)=0,VLOOKUP(M219,'Flujos Anuales'!$B$8:$K$39,9),0),VLOOKUP(M219,'Flujos Anuales'!$B$8:$K$39,9)/12)</f>
        <v>444.96759510336238</v>
      </c>
      <c r="P219" s="120">
        <f>VLOOKUP(M219,'Flujos Anuales'!$B$8:$K$39,10)/12</f>
        <v>41.154578990209536</v>
      </c>
      <c r="Q219" s="120">
        <f t="shared" si="34"/>
        <v>2396.9009243337605</v>
      </c>
    </row>
    <row r="220" spans="2:17" x14ac:dyDescent="0.35">
      <c r="B220" s="10">
        <v>206</v>
      </c>
      <c r="C220" s="11">
        <f t="shared" si="28"/>
        <v>1517.9455240683837</v>
      </c>
      <c r="D220" s="11">
        <f t="shared" si="29"/>
        <v>901.74443975390386</v>
      </c>
      <c r="E220" s="11">
        <f t="shared" si="35"/>
        <v>616.20108431447989</v>
      </c>
      <c r="F220" s="11">
        <f t="shared" si="36"/>
        <v>153968.56001635475</v>
      </c>
      <c r="H220" s="129">
        <f>IF(Principal!$D$25="Anual",IF(MOD(B220+1,12)=0,$W$2*((1+$W$3)^M220),0),$W$2*((1+$W$3)^M220)/12)</f>
        <v>392.83322617180494</v>
      </c>
      <c r="I220" s="68">
        <f t="shared" si="30"/>
        <v>2157.9506752401885</v>
      </c>
      <c r="J220" s="43">
        <f>SUM($I$14:I220)</f>
        <v>439835.71435482515</v>
      </c>
      <c r="K220" s="11">
        <f t="shared" si="31"/>
        <v>0</v>
      </c>
      <c r="L220" s="5">
        <f t="shared" si="32"/>
        <v>1910.7787502401884</v>
      </c>
      <c r="M220" s="10">
        <f t="shared" si="33"/>
        <v>17</v>
      </c>
      <c r="N220" s="189"/>
      <c r="O220" s="130">
        <f>IF(Principal!$D$30="Anual",IF(MOD(B220+1,12)=0,VLOOKUP(M220,'Flujos Anuales'!$B$8:$K$39,9),0),VLOOKUP(M220,'Flujos Anuales'!$B$8:$K$39,9)/12)</f>
        <v>444.96759510336238</v>
      </c>
      <c r="P220" s="120">
        <f>VLOOKUP(M220,'Flujos Anuales'!$B$8:$K$39,10)/12</f>
        <v>41.154578990209536</v>
      </c>
      <c r="Q220" s="120">
        <f t="shared" si="34"/>
        <v>2396.9009243337605</v>
      </c>
    </row>
    <row r="221" spans="2:17" x14ac:dyDescent="0.35">
      <c r="B221" s="10">
        <v>207</v>
      </c>
      <c r="C221" s="11">
        <f t="shared" si="28"/>
        <v>1517.9455240683837</v>
      </c>
      <c r="D221" s="11">
        <f t="shared" si="29"/>
        <v>898.14993342873606</v>
      </c>
      <c r="E221" s="11">
        <f t="shared" si="35"/>
        <v>619.79559063964768</v>
      </c>
      <c r="F221" s="11">
        <f t="shared" si="36"/>
        <v>153348.76442571511</v>
      </c>
      <c r="H221" s="129">
        <f>IF(Principal!$D$25="Anual",IF(MOD(B221+1,12)=0,$W$2*((1+$W$3)^M221),0),$W$2*((1+$W$3)^M221)/12)</f>
        <v>392.83322617180494</v>
      </c>
      <c r="I221" s="68">
        <f t="shared" si="30"/>
        <v>2157.9506752401885</v>
      </c>
      <c r="J221" s="43">
        <f>SUM($I$14:I221)</f>
        <v>441993.66503006534</v>
      </c>
      <c r="K221" s="11">
        <f t="shared" si="31"/>
        <v>0</v>
      </c>
      <c r="L221" s="5">
        <f t="shared" si="32"/>
        <v>1910.7787502401884</v>
      </c>
      <c r="M221" s="10">
        <f t="shared" si="33"/>
        <v>17</v>
      </c>
      <c r="N221" s="189"/>
      <c r="O221" s="130">
        <f>IF(Principal!$D$30="Anual",IF(MOD(B221+1,12)=0,VLOOKUP(M221,'Flujos Anuales'!$B$8:$K$39,9),0),VLOOKUP(M221,'Flujos Anuales'!$B$8:$K$39,9)/12)</f>
        <v>444.96759510336238</v>
      </c>
      <c r="P221" s="120">
        <f>VLOOKUP(M221,'Flujos Anuales'!$B$8:$K$39,10)/12</f>
        <v>41.154578990209536</v>
      </c>
      <c r="Q221" s="120">
        <f t="shared" si="34"/>
        <v>2396.9009243337605</v>
      </c>
    </row>
    <row r="222" spans="2:17" x14ac:dyDescent="0.35">
      <c r="B222" s="10">
        <v>208</v>
      </c>
      <c r="C222" s="11">
        <f t="shared" si="28"/>
        <v>1517.9455240683837</v>
      </c>
      <c r="D222" s="11">
        <f t="shared" si="29"/>
        <v>894.53445915000486</v>
      </c>
      <c r="E222" s="11">
        <f t="shared" si="35"/>
        <v>623.41106491837888</v>
      </c>
      <c r="F222" s="11">
        <f t="shared" si="36"/>
        <v>152725.35336079673</v>
      </c>
      <c r="H222" s="129">
        <f>IF(Principal!$D$25="Anual",IF(MOD(B222+1,12)=0,$W$2*((1+$W$3)^M222),0),$W$2*((1+$W$3)^M222)/12)</f>
        <v>392.83322617180494</v>
      </c>
      <c r="I222" s="68">
        <f t="shared" si="30"/>
        <v>2157.9506752401885</v>
      </c>
      <c r="J222" s="43">
        <f>SUM($I$14:I222)</f>
        <v>444151.61570530554</v>
      </c>
      <c r="K222" s="11">
        <f t="shared" si="31"/>
        <v>0</v>
      </c>
      <c r="L222" s="5">
        <f t="shared" si="32"/>
        <v>1910.7787502401884</v>
      </c>
      <c r="M222" s="10">
        <f t="shared" si="33"/>
        <v>17</v>
      </c>
      <c r="N222" s="189"/>
      <c r="O222" s="130">
        <f>IF(Principal!$D$30="Anual",IF(MOD(B222+1,12)=0,VLOOKUP(M222,'Flujos Anuales'!$B$8:$K$39,9),0),VLOOKUP(M222,'Flujos Anuales'!$B$8:$K$39,9)/12)</f>
        <v>444.96759510336238</v>
      </c>
      <c r="P222" s="120">
        <f>VLOOKUP(M222,'Flujos Anuales'!$B$8:$K$39,10)/12</f>
        <v>41.154578990209536</v>
      </c>
      <c r="Q222" s="120">
        <f t="shared" si="34"/>
        <v>2396.9009243337605</v>
      </c>
    </row>
    <row r="223" spans="2:17" x14ac:dyDescent="0.35">
      <c r="B223" s="10">
        <v>209</v>
      </c>
      <c r="C223" s="11">
        <f t="shared" si="28"/>
        <v>1517.9455240683837</v>
      </c>
      <c r="D223" s="11">
        <f t="shared" si="29"/>
        <v>890.8978946046476</v>
      </c>
      <c r="E223" s="11">
        <f t="shared" si="35"/>
        <v>627.04762946373614</v>
      </c>
      <c r="F223" s="11">
        <f t="shared" si="36"/>
        <v>152098.30573133298</v>
      </c>
      <c r="H223" s="129">
        <f>IF(Principal!$D$25="Anual",IF(MOD(B223+1,12)=0,$W$2*((1+$W$3)^M223),0),$W$2*((1+$W$3)^M223)/12)</f>
        <v>392.83322617180494</v>
      </c>
      <c r="I223" s="68">
        <f t="shared" si="30"/>
        <v>2157.9506752401885</v>
      </c>
      <c r="J223" s="43">
        <f>SUM($I$14:I223)</f>
        <v>446309.56638054573</v>
      </c>
      <c r="K223" s="11">
        <f t="shared" si="31"/>
        <v>0</v>
      </c>
      <c r="L223" s="5">
        <f t="shared" si="32"/>
        <v>1910.7787502401884</v>
      </c>
      <c r="M223" s="10">
        <f t="shared" si="33"/>
        <v>17</v>
      </c>
      <c r="N223" s="189"/>
      <c r="O223" s="130">
        <f>IF(Principal!$D$30="Anual",IF(MOD(B223+1,12)=0,VLOOKUP(M223,'Flujos Anuales'!$B$8:$K$39,9),0),VLOOKUP(M223,'Flujos Anuales'!$B$8:$K$39,9)/12)</f>
        <v>444.96759510336238</v>
      </c>
      <c r="P223" s="120">
        <f>VLOOKUP(M223,'Flujos Anuales'!$B$8:$K$39,10)/12</f>
        <v>41.154578990209536</v>
      </c>
      <c r="Q223" s="120">
        <f t="shared" si="34"/>
        <v>2396.9009243337605</v>
      </c>
    </row>
    <row r="224" spans="2:17" x14ac:dyDescent="0.35">
      <c r="B224" s="10">
        <v>210</v>
      </c>
      <c r="C224" s="11">
        <f t="shared" si="28"/>
        <v>1517.9455240683837</v>
      </c>
      <c r="D224" s="11">
        <f t="shared" si="29"/>
        <v>887.24011676610905</v>
      </c>
      <c r="E224" s="11">
        <f t="shared" si="35"/>
        <v>630.70540730227469</v>
      </c>
      <c r="F224" s="11">
        <f t="shared" si="36"/>
        <v>151467.6003240307</v>
      </c>
      <c r="H224" s="129">
        <f>IF(Principal!$D$25="Anual",IF(MOD(B224+1,12)=0,$W$2*((1+$W$3)^M224),0),$W$2*((1+$W$3)^M224)/12)</f>
        <v>392.83322617180494</v>
      </c>
      <c r="I224" s="68">
        <f t="shared" si="30"/>
        <v>2157.9506752401885</v>
      </c>
      <c r="J224" s="43">
        <f>SUM($I$14:I224)</f>
        <v>448467.51705578592</v>
      </c>
      <c r="K224" s="11">
        <f t="shared" si="31"/>
        <v>0</v>
      </c>
      <c r="L224" s="5">
        <f t="shared" si="32"/>
        <v>1910.7787502401884</v>
      </c>
      <c r="M224" s="10">
        <f t="shared" si="33"/>
        <v>17</v>
      </c>
      <c r="N224" s="189"/>
      <c r="O224" s="130">
        <f>IF(Principal!$D$30="Anual",IF(MOD(B224+1,12)=0,VLOOKUP(M224,'Flujos Anuales'!$B$8:$K$39,9),0),VLOOKUP(M224,'Flujos Anuales'!$B$8:$K$39,9)/12)</f>
        <v>444.96759510336238</v>
      </c>
      <c r="P224" s="120">
        <f>VLOOKUP(M224,'Flujos Anuales'!$B$8:$K$39,10)/12</f>
        <v>41.154578990209536</v>
      </c>
      <c r="Q224" s="120">
        <f t="shared" si="34"/>
        <v>2396.9009243337605</v>
      </c>
    </row>
    <row r="225" spans="2:17" x14ac:dyDescent="0.35">
      <c r="B225" s="10">
        <v>211</v>
      </c>
      <c r="C225" s="11">
        <f t="shared" si="28"/>
        <v>1517.9455240683837</v>
      </c>
      <c r="D225" s="11">
        <f t="shared" si="29"/>
        <v>883.56100189017911</v>
      </c>
      <c r="E225" s="11">
        <f t="shared" si="35"/>
        <v>634.38452217820463</v>
      </c>
      <c r="F225" s="11">
        <f t="shared" si="36"/>
        <v>150833.21580185249</v>
      </c>
      <c r="H225" s="129">
        <f>IF(Principal!$D$25="Anual",IF(MOD(B225+1,12)=0,$W$2*((1+$W$3)^M225),0),$W$2*((1+$W$3)^M225)/12)</f>
        <v>392.83322617180494</v>
      </c>
      <c r="I225" s="68">
        <f t="shared" si="30"/>
        <v>2157.9506752401885</v>
      </c>
      <c r="J225" s="43">
        <f>SUM($I$14:I225)</f>
        <v>450625.46773102612</v>
      </c>
      <c r="K225" s="11">
        <f t="shared" si="31"/>
        <v>0</v>
      </c>
      <c r="L225" s="5">
        <f t="shared" si="32"/>
        <v>1910.7787502401884</v>
      </c>
      <c r="M225" s="10">
        <f t="shared" si="33"/>
        <v>17</v>
      </c>
      <c r="N225" s="189"/>
      <c r="O225" s="130">
        <f>IF(Principal!$D$30="Anual",IF(MOD(B225+1,12)=0,VLOOKUP(M225,'Flujos Anuales'!$B$8:$K$39,9),0),VLOOKUP(M225,'Flujos Anuales'!$B$8:$K$39,9)/12)</f>
        <v>444.96759510336238</v>
      </c>
      <c r="P225" s="120">
        <f>VLOOKUP(M225,'Flujos Anuales'!$B$8:$K$39,10)/12</f>
        <v>41.154578990209536</v>
      </c>
      <c r="Q225" s="120">
        <f t="shared" si="34"/>
        <v>2396.9009243337605</v>
      </c>
    </row>
    <row r="226" spans="2:17" x14ac:dyDescent="0.35">
      <c r="B226" s="10">
        <v>212</v>
      </c>
      <c r="C226" s="11">
        <f t="shared" si="28"/>
        <v>1517.9455240683837</v>
      </c>
      <c r="D226" s="11">
        <f t="shared" si="29"/>
        <v>879.86042551080629</v>
      </c>
      <c r="E226" s="11">
        <f t="shared" si="35"/>
        <v>638.08509855757745</v>
      </c>
      <c r="F226" s="11">
        <f t="shared" si="36"/>
        <v>150195.13070329491</v>
      </c>
      <c r="H226" s="129">
        <f>IF(Principal!$D$25="Anual",IF(MOD(B226+1,12)=0,$W$2*((1+$W$3)^M226),0),$W$2*((1+$W$3)^M226)/12)</f>
        <v>392.83322617180494</v>
      </c>
      <c r="I226" s="68">
        <f t="shared" si="30"/>
        <v>2157.9506752401885</v>
      </c>
      <c r="J226" s="43">
        <f>SUM($I$14:I226)</f>
        <v>452783.41840626631</v>
      </c>
      <c r="K226" s="11">
        <f t="shared" si="31"/>
        <v>0</v>
      </c>
      <c r="L226" s="5">
        <f t="shared" si="32"/>
        <v>1910.7787502401884</v>
      </c>
      <c r="M226" s="10">
        <f t="shared" si="33"/>
        <v>17</v>
      </c>
      <c r="N226" s="189"/>
      <c r="O226" s="130">
        <f>IF(Principal!$D$30="Anual",IF(MOD(B226+1,12)=0,VLOOKUP(M226,'Flujos Anuales'!$B$8:$K$39,9),0),VLOOKUP(M226,'Flujos Anuales'!$B$8:$K$39,9)/12)</f>
        <v>444.96759510336238</v>
      </c>
      <c r="P226" s="120">
        <f>VLOOKUP(M226,'Flujos Anuales'!$B$8:$K$39,10)/12</f>
        <v>41.154578990209536</v>
      </c>
      <c r="Q226" s="120">
        <f t="shared" si="34"/>
        <v>2396.9009243337605</v>
      </c>
    </row>
    <row r="227" spans="2:17" x14ac:dyDescent="0.35">
      <c r="B227" s="10">
        <v>213</v>
      </c>
      <c r="C227" s="11">
        <f t="shared" si="28"/>
        <v>1517.9455240683837</v>
      </c>
      <c r="D227" s="11">
        <f t="shared" si="29"/>
        <v>876.13826243588699</v>
      </c>
      <c r="E227" s="11">
        <f t="shared" si="35"/>
        <v>641.80726163249676</v>
      </c>
      <c r="F227" s="11">
        <f t="shared" si="36"/>
        <v>149553.32344166242</v>
      </c>
      <c r="H227" s="129">
        <f>IF(Principal!$D$25="Anual",IF(MOD(B227+1,12)=0,$W$2*((1+$W$3)^M227),0),$W$2*((1+$W$3)^M227)/12)</f>
        <v>392.83322617180494</v>
      </c>
      <c r="I227" s="68">
        <f t="shared" si="30"/>
        <v>2157.9506752401885</v>
      </c>
      <c r="J227" s="43">
        <f>SUM($I$14:I227)</f>
        <v>454941.36908150651</v>
      </c>
      <c r="K227" s="11">
        <f t="shared" si="31"/>
        <v>0</v>
      </c>
      <c r="L227" s="5">
        <f t="shared" si="32"/>
        <v>1910.7787502401884</v>
      </c>
      <c r="M227" s="10">
        <f t="shared" si="33"/>
        <v>17</v>
      </c>
      <c r="N227" s="189"/>
      <c r="O227" s="130">
        <f>IF(Principal!$D$30="Anual",IF(MOD(B227+1,12)=0,VLOOKUP(M227,'Flujos Anuales'!$B$8:$K$39,9),0),VLOOKUP(M227,'Flujos Anuales'!$B$8:$K$39,9)/12)</f>
        <v>444.96759510336238</v>
      </c>
      <c r="P227" s="120">
        <f>VLOOKUP(M227,'Flujos Anuales'!$B$8:$K$39,10)/12</f>
        <v>41.154578990209536</v>
      </c>
      <c r="Q227" s="120">
        <f t="shared" si="34"/>
        <v>2396.9009243337605</v>
      </c>
    </row>
    <row r="228" spans="2:17" x14ac:dyDescent="0.35">
      <c r="B228" s="10">
        <v>214</v>
      </c>
      <c r="C228" s="11">
        <f t="shared" si="28"/>
        <v>1517.9455240683837</v>
      </c>
      <c r="D228" s="11">
        <f t="shared" si="29"/>
        <v>872.39438674303085</v>
      </c>
      <c r="E228" s="11">
        <f t="shared" si="35"/>
        <v>645.5511373253529</v>
      </c>
      <c r="F228" s="11">
        <f t="shared" si="36"/>
        <v>148907.77230433706</v>
      </c>
      <c r="H228" s="129">
        <f>IF(Principal!$D$25="Anual",IF(MOD(B228+1,12)=0,$W$2*((1+$W$3)^M228),0),$W$2*((1+$W$3)^M228)/12)</f>
        <v>392.83322617180494</v>
      </c>
      <c r="I228" s="68">
        <f t="shared" si="30"/>
        <v>2157.9506752401885</v>
      </c>
      <c r="J228" s="43">
        <f>SUM($I$14:I228)</f>
        <v>457099.3197567467</v>
      </c>
      <c r="K228" s="11">
        <f t="shared" si="31"/>
        <v>0</v>
      </c>
      <c r="L228" s="5">
        <f t="shared" si="32"/>
        <v>1910.7787502401884</v>
      </c>
      <c r="M228" s="10">
        <f t="shared" si="33"/>
        <v>17</v>
      </c>
      <c r="N228" s="189"/>
      <c r="O228" s="130">
        <f>IF(Principal!$D$30="Anual",IF(MOD(B228+1,12)=0,VLOOKUP(M228,'Flujos Anuales'!$B$8:$K$39,9),0),VLOOKUP(M228,'Flujos Anuales'!$B$8:$K$39,9)/12)</f>
        <v>444.96759510336238</v>
      </c>
      <c r="P228" s="120">
        <f>VLOOKUP(M228,'Flujos Anuales'!$B$8:$K$39,10)/12</f>
        <v>41.154578990209536</v>
      </c>
      <c r="Q228" s="120">
        <f t="shared" si="34"/>
        <v>2396.9009243337605</v>
      </c>
    </row>
    <row r="229" spans="2:17" x14ac:dyDescent="0.35">
      <c r="B229" s="10">
        <v>215</v>
      </c>
      <c r="C229" s="11">
        <f t="shared" si="28"/>
        <v>1517.9455240683837</v>
      </c>
      <c r="D229" s="11">
        <f t="shared" si="29"/>
        <v>868.62867177529961</v>
      </c>
      <c r="E229" s="11">
        <f t="shared" si="35"/>
        <v>649.31685229308414</v>
      </c>
      <c r="F229" s="11">
        <f t="shared" si="36"/>
        <v>148258.45545204397</v>
      </c>
      <c r="H229" s="129">
        <f>IF(Principal!$D$25="Anual",IF(MOD(B229+1,12)=0,$W$2*((1+$W$3)^M229),0),$W$2*((1+$W$3)^M229)/12)</f>
        <v>392.83322617180494</v>
      </c>
      <c r="I229" s="68">
        <f t="shared" si="30"/>
        <v>2157.9506752401885</v>
      </c>
      <c r="J229" s="43">
        <f>SUM($I$14:I229)</f>
        <v>459257.27043198689</v>
      </c>
      <c r="K229" s="11">
        <f t="shared" si="31"/>
        <v>0</v>
      </c>
      <c r="L229" s="5">
        <f t="shared" si="32"/>
        <v>1910.7787502401884</v>
      </c>
      <c r="M229" s="10">
        <f t="shared" si="33"/>
        <v>17</v>
      </c>
      <c r="N229" s="189"/>
      <c r="O229" s="130">
        <f>IF(Principal!$D$30="Anual",IF(MOD(B229+1,12)=0,VLOOKUP(M229,'Flujos Anuales'!$B$8:$K$39,9),0),VLOOKUP(M229,'Flujos Anuales'!$B$8:$K$39,9)/12)</f>
        <v>444.96759510336238</v>
      </c>
      <c r="P229" s="120">
        <f>VLOOKUP(M229,'Flujos Anuales'!$B$8:$K$39,10)/12</f>
        <v>41.154578990209536</v>
      </c>
      <c r="Q229" s="120">
        <f t="shared" si="34"/>
        <v>2396.9009243337605</v>
      </c>
    </row>
    <row r="230" spans="2:17" x14ac:dyDescent="0.35">
      <c r="B230" s="10">
        <v>216</v>
      </c>
      <c r="C230" s="11">
        <f t="shared" si="28"/>
        <v>1517.9455240683837</v>
      </c>
      <c r="D230" s="11">
        <f t="shared" si="29"/>
        <v>864.84099013692321</v>
      </c>
      <c r="E230" s="11">
        <f t="shared" si="35"/>
        <v>653.10453393146054</v>
      </c>
      <c r="F230" s="11">
        <f t="shared" si="36"/>
        <v>147605.3509181125</v>
      </c>
      <c r="H230" s="129">
        <f>IF(Principal!$D$25="Anual",IF(MOD(B230+1,12)=0,$W$2*((1+$W$3)^M230),0),$W$2*((1+$W$3)^M230)/12)</f>
        <v>395.5312398375811</v>
      </c>
      <c r="I230" s="68">
        <f t="shared" si="30"/>
        <v>2160.6486889059647</v>
      </c>
      <c r="J230" s="43">
        <f>SUM($I$14:I230)</f>
        <v>461417.91912089288</v>
      </c>
      <c r="K230" s="11">
        <f t="shared" si="31"/>
        <v>0</v>
      </c>
      <c r="L230" s="5">
        <f t="shared" si="32"/>
        <v>1913.4767639059646</v>
      </c>
      <c r="M230" s="10">
        <f t="shared" si="33"/>
        <v>18</v>
      </c>
      <c r="N230" s="189">
        <f>SUM(L230:L241)</f>
        <v>22961.721166871575</v>
      </c>
      <c r="O230" s="130">
        <f>IF(Principal!$D$30="Anual",IF(MOD(B230+1,12)=0,VLOOKUP(M230,'Flujos Anuales'!$B$8:$K$39,9),0),VLOOKUP(M230,'Flujos Anuales'!$B$8:$K$39,9)/12)</f>
        <v>465.29143007113959</v>
      </c>
      <c r="P230" s="120">
        <f>VLOOKUP(M230,'Flujos Anuales'!$B$8:$K$39,10)/12</f>
        <v>41.566124780111629</v>
      </c>
      <c r="Q230" s="120">
        <f t="shared" si="34"/>
        <v>2420.3343187572159</v>
      </c>
    </row>
    <row r="231" spans="2:17" x14ac:dyDescent="0.35">
      <c r="B231" s="10">
        <v>217</v>
      </c>
      <c r="C231" s="11">
        <f t="shared" si="28"/>
        <v>1517.9455240683837</v>
      </c>
      <c r="D231" s="11">
        <f t="shared" si="29"/>
        <v>861.03121368898962</v>
      </c>
      <c r="E231" s="11">
        <f t="shared" si="35"/>
        <v>656.91431037939412</v>
      </c>
      <c r="F231" s="11">
        <f t="shared" si="36"/>
        <v>146948.43660773311</v>
      </c>
      <c r="H231" s="129">
        <f>IF(Principal!$D$25="Anual",IF(MOD(B231+1,12)=0,$W$2*((1+$W$3)^M231),0),$W$2*((1+$W$3)^M231)/12)</f>
        <v>395.5312398375811</v>
      </c>
      <c r="I231" s="68">
        <f t="shared" si="30"/>
        <v>2160.6486889059647</v>
      </c>
      <c r="J231" s="43">
        <f>SUM($I$14:I231)</f>
        <v>463578.56780979887</v>
      </c>
      <c r="K231" s="11">
        <f t="shared" si="31"/>
        <v>0</v>
      </c>
      <c r="L231" s="5">
        <f t="shared" si="32"/>
        <v>1913.4767639059646</v>
      </c>
      <c r="M231" s="10">
        <f t="shared" si="33"/>
        <v>18</v>
      </c>
      <c r="N231" s="189"/>
      <c r="O231" s="130">
        <f>IF(Principal!$D$30="Anual",IF(MOD(B231+1,12)=0,VLOOKUP(M231,'Flujos Anuales'!$B$8:$K$39,9),0),VLOOKUP(M231,'Flujos Anuales'!$B$8:$K$39,9)/12)</f>
        <v>465.29143007113959</v>
      </c>
      <c r="P231" s="120">
        <f>VLOOKUP(M231,'Flujos Anuales'!$B$8:$K$39,10)/12</f>
        <v>41.566124780111629</v>
      </c>
      <c r="Q231" s="120">
        <f t="shared" si="34"/>
        <v>2420.3343187572159</v>
      </c>
    </row>
    <row r="232" spans="2:17" x14ac:dyDescent="0.35">
      <c r="B232" s="10">
        <v>218</v>
      </c>
      <c r="C232" s="11">
        <f t="shared" si="28"/>
        <v>1517.9455240683837</v>
      </c>
      <c r="D232" s="11">
        <f t="shared" si="29"/>
        <v>857.19921354510984</v>
      </c>
      <c r="E232" s="11">
        <f t="shared" si="35"/>
        <v>660.74631052327391</v>
      </c>
      <c r="F232" s="11">
        <f t="shared" si="36"/>
        <v>146287.69029720983</v>
      </c>
      <c r="H232" s="129">
        <f>IF(Principal!$D$25="Anual",IF(MOD(B232+1,12)=0,$W$2*((1+$W$3)^M232),0),$W$2*((1+$W$3)^M232)/12)</f>
        <v>395.5312398375811</v>
      </c>
      <c r="I232" s="68">
        <f t="shared" si="30"/>
        <v>2160.6486889059647</v>
      </c>
      <c r="J232" s="43">
        <f>SUM($I$14:I232)</f>
        <v>465739.21649870486</v>
      </c>
      <c r="K232" s="11">
        <f t="shared" si="31"/>
        <v>0</v>
      </c>
      <c r="L232" s="5">
        <f t="shared" si="32"/>
        <v>1913.4767639059646</v>
      </c>
      <c r="M232" s="10">
        <f t="shared" si="33"/>
        <v>18</v>
      </c>
      <c r="N232" s="189"/>
      <c r="O232" s="130">
        <f>IF(Principal!$D$30="Anual",IF(MOD(B232+1,12)=0,VLOOKUP(M232,'Flujos Anuales'!$B$8:$K$39,9),0),VLOOKUP(M232,'Flujos Anuales'!$B$8:$K$39,9)/12)</f>
        <v>465.29143007113959</v>
      </c>
      <c r="P232" s="120">
        <f>VLOOKUP(M232,'Flujos Anuales'!$B$8:$K$39,10)/12</f>
        <v>41.566124780111629</v>
      </c>
      <c r="Q232" s="120">
        <f t="shared" si="34"/>
        <v>2420.3343187572159</v>
      </c>
    </row>
    <row r="233" spans="2:17" x14ac:dyDescent="0.35">
      <c r="B233" s="10">
        <v>219</v>
      </c>
      <c r="C233" s="11">
        <f t="shared" si="28"/>
        <v>1517.9455240683837</v>
      </c>
      <c r="D233" s="11">
        <f t="shared" si="29"/>
        <v>853.34486006705743</v>
      </c>
      <c r="E233" s="11">
        <f t="shared" si="35"/>
        <v>664.60066400132632</v>
      </c>
      <c r="F233" s="11">
        <f t="shared" si="36"/>
        <v>145623.0896332085</v>
      </c>
      <c r="H233" s="129">
        <f>IF(Principal!$D$25="Anual",IF(MOD(B233+1,12)=0,$W$2*((1+$W$3)^M233),0),$W$2*((1+$W$3)^M233)/12)</f>
        <v>395.5312398375811</v>
      </c>
      <c r="I233" s="68">
        <f t="shared" si="30"/>
        <v>2160.6486889059647</v>
      </c>
      <c r="J233" s="43">
        <f>SUM($I$14:I233)</f>
        <v>467899.86518761085</v>
      </c>
      <c r="K233" s="11">
        <f t="shared" si="31"/>
        <v>0</v>
      </c>
      <c r="L233" s="5">
        <f t="shared" si="32"/>
        <v>1913.4767639059646</v>
      </c>
      <c r="M233" s="10">
        <f t="shared" si="33"/>
        <v>18</v>
      </c>
      <c r="N233" s="189"/>
      <c r="O233" s="130">
        <f>IF(Principal!$D$30="Anual",IF(MOD(B233+1,12)=0,VLOOKUP(M233,'Flujos Anuales'!$B$8:$K$39,9),0),VLOOKUP(M233,'Flujos Anuales'!$B$8:$K$39,9)/12)</f>
        <v>465.29143007113959</v>
      </c>
      <c r="P233" s="120">
        <f>VLOOKUP(M233,'Flujos Anuales'!$B$8:$K$39,10)/12</f>
        <v>41.566124780111629</v>
      </c>
      <c r="Q233" s="120">
        <f t="shared" si="34"/>
        <v>2420.3343187572159</v>
      </c>
    </row>
    <row r="234" spans="2:17" x14ac:dyDescent="0.35">
      <c r="B234" s="10">
        <v>220</v>
      </c>
      <c r="C234" s="11">
        <f t="shared" si="28"/>
        <v>1517.9455240683837</v>
      </c>
      <c r="D234" s="11">
        <f t="shared" si="29"/>
        <v>849.46802286038292</v>
      </c>
      <c r="E234" s="11">
        <f t="shared" si="35"/>
        <v>668.47750120800083</v>
      </c>
      <c r="F234" s="11">
        <f t="shared" si="36"/>
        <v>144954.6121320005</v>
      </c>
      <c r="H234" s="129">
        <f>IF(Principal!$D$25="Anual",IF(MOD(B234+1,12)=0,$W$2*((1+$W$3)^M234),0),$W$2*((1+$W$3)^M234)/12)</f>
        <v>395.5312398375811</v>
      </c>
      <c r="I234" s="68">
        <f t="shared" si="30"/>
        <v>2160.6486889059647</v>
      </c>
      <c r="J234" s="43">
        <f>SUM($I$14:I234)</f>
        <v>470060.51387651684</v>
      </c>
      <c r="K234" s="11">
        <f t="shared" si="31"/>
        <v>0</v>
      </c>
      <c r="L234" s="5">
        <f t="shared" si="32"/>
        <v>1913.4767639059646</v>
      </c>
      <c r="M234" s="10">
        <f t="shared" si="33"/>
        <v>18</v>
      </c>
      <c r="N234" s="189"/>
      <c r="O234" s="130">
        <f>IF(Principal!$D$30="Anual",IF(MOD(B234+1,12)=0,VLOOKUP(M234,'Flujos Anuales'!$B$8:$K$39,9),0),VLOOKUP(M234,'Flujos Anuales'!$B$8:$K$39,9)/12)</f>
        <v>465.29143007113959</v>
      </c>
      <c r="P234" s="120">
        <f>VLOOKUP(M234,'Flujos Anuales'!$B$8:$K$39,10)/12</f>
        <v>41.566124780111629</v>
      </c>
      <c r="Q234" s="120">
        <f t="shared" si="34"/>
        <v>2420.3343187572159</v>
      </c>
    </row>
    <row r="235" spans="2:17" x14ac:dyDescent="0.35">
      <c r="B235" s="10">
        <v>221</v>
      </c>
      <c r="C235" s="11">
        <f t="shared" si="28"/>
        <v>1517.9455240683837</v>
      </c>
      <c r="D235" s="11">
        <f t="shared" si="29"/>
        <v>845.56857077000302</v>
      </c>
      <c r="E235" s="11">
        <f t="shared" si="35"/>
        <v>672.37695329838073</v>
      </c>
      <c r="F235" s="11">
        <f t="shared" si="36"/>
        <v>144282.23517870213</v>
      </c>
      <c r="H235" s="129">
        <f>IF(Principal!$D$25="Anual",IF(MOD(B235+1,12)=0,$W$2*((1+$W$3)^M235),0),$W$2*((1+$W$3)^M235)/12)</f>
        <v>395.5312398375811</v>
      </c>
      <c r="I235" s="68">
        <f t="shared" si="30"/>
        <v>2160.6486889059647</v>
      </c>
      <c r="J235" s="43">
        <f>SUM($I$14:I235)</f>
        <v>472221.16256542283</v>
      </c>
      <c r="K235" s="11">
        <f t="shared" si="31"/>
        <v>0</v>
      </c>
      <c r="L235" s="5">
        <f t="shared" si="32"/>
        <v>1913.4767639059646</v>
      </c>
      <c r="M235" s="10">
        <f t="shared" si="33"/>
        <v>18</v>
      </c>
      <c r="N235" s="189"/>
      <c r="O235" s="130">
        <f>IF(Principal!$D$30="Anual",IF(MOD(B235+1,12)=0,VLOOKUP(M235,'Flujos Anuales'!$B$8:$K$39,9),0),VLOOKUP(M235,'Flujos Anuales'!$B$8:$K$39,9)/12)</f>
        <v>465.29143007113959</v>
      </c>
      <c r="P235" s="120">
        <f>VLOOKUP(M235,'Flujos Anuales'!$B$8:$K$39,10)/12</f>
        <v>41.566124780111629</v>
      </c>
      <c r="Q235" s="120">
        <f t="shared" si="34"/>
        <v>2420.3343187572159</v>
      </c>
    </row>
    <row r="236" spans="2:17" x14ac:dyDescent="0.35">
      <c r="B236" s="10">
        <v>222</v>
      </c>
      <c r="C236" s="11">
        <f t="shared" si="28"/>
        <v>1517.9455240683837</v>
      </c>
      <c r="D236" s="11">
        <f t="shared" si="29"/>
        <v>841.6463718757625</v>
      </c>
      <c r="E236" s="11">
        <f t="shared" si="35"/>
        <v>676.29915219262125</v>
      </c>
      <c r="F236" s="11">
        <f t="shared" si="36"/>
        <v>143605.9360265095</v>
      </c>
      <c r="H236" s="129">
        <f>IF(Principal!$D$25="Anual",IF(MOD(B236+1,12)=0,$W$2*((1+$W$3)^M236),0),$W$2*((1+$W$3)^M236)/12)</f>
        <v>395.5312398375811</v>
      </c>
      <c r="I236" s="68">
        <f t="shared" si="30"/>
        <v>2160.6486889059647</v>
      </c>
      <c r="J236" s="43">
        <f>SUM($I$14:I236)</f>
        <v>474381.81125432882</v>
      </c>
      <c r="K236" s="11">
        <f t="shared" si="31"/>
        <v>0</v>
      </c>
      <c r="L236" s="5">
        <f t="shared" si="32"/>
        <v>1913.4767639059646</v>
      </c>
      <c r="M236" s="10">
        <f t="shared" si="33"/>
        <v>18</v>
      </c>
      <c r="N236" s="189"/>
      <c r="O236" s="130">
        <f>IF(Principal!$D$30="Anual",IF(MOD(B236+1,12)=0,VLOOKUP(M236,'Flujos Anuales'!$B$8:$K$39,9),0),VLOOKUP(M236,'Flujos Anuales'!$B$8:$K$39,9)/12)</f>
        <v>465.29143007113959</v>
      </c>
      <c r="P236" s="120">
        <f>VLOOKUP(M236,'Flujos Anuales'!$B$8:$K$39,10)/12</f>
        <v>41.566124780111629</v>
      </c>
      <c r="Q236" s="120">
        <f t="shared" si="34"/>
        <v>2420.3343187572159</v>
      </c>
    </row>
    <row r="237" spans="2:17" x14ac:dyDescent="0.35">
      <c r="B237" s="10">
        <v>223</v>
      </c>
      <c r="C237" s="11">
        <f t="shared" si="28"/>
        <v>1517.9455240683837</v>
      </c>
      <c r="D237" s="11">
        <f t="shared" si="29"/>
        <v>837.70129348797218</v>
      </c>
      <c r="E237" s="11">
        <f t="shared" si="35"/>
        <v>680.24423058041157</v>
      </c>
      <c r="F237" s="11">
        <f t="shared" si="36"/>
        <v>142925.6917959291</v>
      </c>
      <c r="H237" s="129">
        <f>IF(Principal!$D$25="Anual",IF(MOD(B237+1,12)=0,$W$2*((1+$W$3)^M237),0),$W$2*((1+$W$3)^M237)/12)</f>
        <v>395.5312398375811</v>
      </c>
      <c r="I237" s="68">
        <f t="shared" si="30"/>
        <v>2160.6486889059647</v>
      </c>
      <c r="J237" s="43">
        <f>SUM($I$14:I237)</f>
        <v>476542.4599432348</v>
      </c>
      <c r="K237" s="11">
        <f t="shared" si="31"/>
        <v>0</v>
      </c>
      <c r="L237" s="5">
        <f t="shared" si="32"/>
        <v>1913.4767639059646</v>
      </c>
      <c r="M237" s="10">
        <f t="shared" si="33"/>
        <v>18</v>
      </c>
      <c r="N237" s="189"/>
      <c r="O237" s="130">
        <f>IF(Principal!$D$30="Anual",IF(MOD(B237+1,12)=0,VLOOKUP(M237,'Flujos Anuales'!$B$8:$K$39,9),0),VLOOKUP(M237,'Flujos Anuales'!$B$8:$K$39,9)/12)</f>
        <v>465.29143007113959</v>
      </c>
      <c r="P237" s="120">
        <f>VLOOKUP(M237,'Flujos Anuales'!$B$8:$K$39,10)/12</f>
        <v>41.566124780111629</v>
      </c>
      <c r="Q237" s="120">
        <f t="shared" si="34"/>
        <v>2420.3343187572159</v>
      </c>
    </row>
    <row r="238" spans="2:17" x14ac:dyDescent="0.35">
      <c r="B238" s="10">
        <v>224</v>
      </c>
      <c r="C238" s="11">
        <f t="shared" si="28"/>
        <v>1517.9455240683837</v>
      </c>
      <c r="D238" s="11">
        <f t="shared" si="29"/>
        <v>833.73320214291982</v>
      </c>
      <c r="E238" s="11">
        <f t="shared" si="35"/>
        <v>684.21232192546393</v>
      </c>
      <c r="F238" s="11">
        <f t="shared" si="36"/>
        <v>142241.47947400363</v>
      </c>
      <c r="H238" s="129">
        <f>IF(Principal!$D$25="Anual",IF(MOD(B238+1,12)=0,$W$2*((1+$W$3)^M238),0),$W$2*((1+$W$3)^M238)/12)</f>
        <v>395.5312398375811</v>
      </c>
      <c r="I238" s="68">
        <f t="shared" si="30"/>
        <v>2160.6486889059647</v>
      </c>
      <c r="J238" s="43">
        <f>SUM($I$14:I238)</f>
        <v>478703.10863214079</v>
      </c>
      <c r="K238" s="11">
        <f t="shared" si="31"/>
        <v>0</v>
      </c>
      <c r="L238" s="5">
        <f t="shared" si="32"/>
        <v>1913.4767639059646</v>
      </c>
      <c r="M238" s="10">
        <f t="shared" si="33"/>
        <v>18</v>
      </c>
      <c r="N238" s="189"/>
      <c r="O238" s="130">
        <f>IF(Principal!$D$30="Anual",IF(MOD(B238+1,12)=0,VLOOKUP(M238,'Flujos Anuales'!$B$8:$K$39,9),0),VLOOKUP(M238,'Flujos Anuales'!$B$8:$K$39,9)/12)</f>
        <v>465.29143007113959</v>
      </c>
      <c r="P238" s="120">
        <f>VLOOKUP(M238,'Flujos Anuales'!$B$8:$K$39,10)/12</f>
        <v>41.566124780111629</v>
      </c>
      <c r="Q238" s="120">
        <f t="shared" si="34"/>
        <v>2420.3343187572159</v>
      </c>
    </row>
    <row r="239" spans="2:17" x14ac:dyDescent="0.35">
      <c r="B239" s="10">
        <v>225</v>
      </c>
      <c r="C239" s="11">
        <f t="shared" si="28"/>
        <v>1517.9455240683837</v>
      </c>
      <c r="D239" s="11">
        <f t="shared" si="29"/>
        <v>829.74196359835457</v>
      </c>
      <c r="E239" s="11">
        <f t="shared" si="35"/>
        <v>688.20356047002917</v>
      </c>
      <c r="F239" s="11">
        <f t="shared" si="36"/>
        <v>141553.27591353361</v>
      </c>
      <c r="H239" s="129">
        <f>IF(Principal!$D$25="Anual",IF(MOD(B239+1,12)=0,$W$2*((1+$W$3)^M239),0),$W$2*((1+$W$3)^M239)/12)</f>
        <v>395.5312398375811</v>
      </c>
      <c r="I239" s="68">
        <f t="shared" si="30"/>
        <v>2160.6486889059647</v>
      </c>
      <c r="J239" s="43">
        <f>SUM($I$14:I239)</f>
        <v>480863.75732104678</v>
      </c>
      <c r="K239" s="11">
        <f t="shared" si="31"/>
        <v>0</v>
      </c>
      <c r="L239" s="5">
        <f t="shared" si="32"/>
        <v>1913.4767639059646</v>
      </c>
      <c r="M239" s="10">
        <f t="shared" si="33"/>
        <v>18</v>
      </c>
      <c r="N239" s="189"/>
      <c r="O239" s="130">
        <f>IF(Principal!$D$30="Anual",IF(MOD(B239+1,12)=0,VLOOKUP(M239,'Flujos Anuales'!$B$8:$K$39,9),0),VLOOKUP(M239,'Flujos Anuales'!$B$8:$K$39,9)/12)</f>
        <v>465.29143007113959</v>
      </c>
      <c r="P239" s="120">
        <f>VLOOKUP(M239,'Flujos Anuales'!$B$8:$K$39,10)/12</f>
        <v>41.566124780111629</v>
      </c>
      <c r="Q239" s="120">
        <f t="shared" si="34"/>
        <v>2420.3343187572159</v>
      </c>
    </row>
    <row r="240" spans="2:17" x14ac:dyDescent="0.35">
      <c r="B240" s="10">
        <v>226</v>
      </c>
      <c r="C240" s="11">
        <f t="shared" si="28"/>
        <v>1517.9455240683837</v>
      </c>
      <c r="D240" s="11">
        <f t="shared" si="29"/>
        <v>825.7274428289461</v>
      </c>
      <c r="E240" s="11">
        <f t="shared" si="35"/>
        <v>692.21808123943765</v>
      </c>
      <c r="F240" s="11">
        <f t="shared" si="36"/>
        <v>140861.05783229417</v>
      </c>
      <c r="H240" s="129">
        <f>IF(Principal!$D$25="Anual",IF(MOD(B240+1,12)=0,$W$2*((1+$W$3)^M240),0),$W$2*((1+$W$3)^M240)/12)</f>
        <v>395.5312398375811</v>
      </c>
      <c r="I240" s="68">
        <f t="shared" si="30"/>
        <v>2160.6486889059647</v>
      </c>
      <c r="J240" s="43">
        <f>SUM($I$14:I240)</f>
        <v>483024.40600995277</v>
      </c>
      <c r="K240" s="11">
        <f t="shared" si="31"/>
        <v>0</v>
      </c>
      <c r="L240" s="5">
        <f t="shared" si="32"/>
        <v>1913.4767639059646</v>
      </c>
      <c r="M240" s="10">
        <f t="shared" si="33"/>
        <v>18</v>
      </c>
      <c r="N240" s="189"/>
      <c r="O240" s="130">
        <f>IF(Principal!$D$30="Anual",IF(MOD(B240+1,12)=0,VLOOKUP(M240,'Flujos Anuales'!$B$8:$K$39,9),0),VLOOKUP(M240,'Flujos Anuales'!$B$8:$K$39,9)/12)</f>
        <v>465.29143007113959</v>
      </c>
      <c r="P240" s="120">
        <f>VLOOKUP(M240,'Flujos Anuales'!$B$8:$K$39,10)/12</f>
        <v>41.566124780111629</v>
      </c>
      <c r="Q240" s="120">
        <f t="shared" si="34"/>
        <v>2420.3343187572159</v>
      </c>
    </row>
    <row r="241" spans="2:17" x14ac:dyDescent="0.35">
      <c r="B241" s="10">
        <v>227</v>
      </c>
      <c r="C241" s="11">
        <f t="shared" si="28"/>
        <v>1517.9455240683837</v>
      </c>
      <c r="D241" s="11">
        <f t="shared" si="29"/>
        <v>821.68950402171606</v>
      </c>
      <c r="E241" s="11">
        <f t="shared" si="35"/>
        <v>696.25602004666769</v>
      </c>
      <c r="F241" s="11">
        <f t="shared" si="36"/>
        <v>140164.80181224752</v>
      </c>
      <c r="H241" s="129">
        <f>IF(Principal!$D$25="Anual",IF(MOD(B241+1,12)=0,$W$2*((1+$W$3)^M241),0),$W$2*((1+$W$3)^M241)/12)</f>
        <v>395.5312398375811</v>
      </c>
      <c r="I241" s="68">
        <f t="shared" si="30"/>
        <v>2160.6486889059647</v>
      </c>
      <c r="J241" s="43">
        <f>SUM($I$14:I241)</f>
        <v>485185.05469885876</v>
      </c>
      <c r="K241" s="11">
        <f t="shared" si="31"/>
        <v>0</v>
      </c>
      <c r="L241" s="5">
        <f t="shared" si="32"/>
        <v>1913.4767639059646</v>
      </c>
      <c r="M241" s="10">
        <f t="shared" si="33"/>
        <v>18</v>
      </c>
      <c r="N241" s="189"/>
      <c r="O241" s="130">
        <f>IF(Principal!$D$30="Anual",IF(MOD(B241+1,12)=0,VLOOKUP(M241,'Flujos Anuales'!$B$8:$K$39,9),0),VLOOKUP(M241,'Flujos Anuales'!$B$8:$K$39,9)/12)</f>
        <v>465.29143007113959</v>
      </c>
      <c r="P241" s="120">
        <f>VLOOKUP(M241,'Flujos Anuales'!$B$8:$K$39,10)/12</f>
        <v>41.566124780111629</v>
      </c>
      <c r="Q241" s="120">
        <f t="shared" si="34"/>
        <v>2420.3343187572159</v>
      </c>
    </row>
    <row r="242" spans="2:17" x14ac:dyDescent="0.35">
      <c r="B242" s="10">
        <v>228</v>
      </c>
      <c r="C242" s="11">
        <f t="shared" si="28"/>
        <v>1517.9455240683837</v>
      </c>
      <c r="D242" s="11">
        <f t="shared" si="29"/>
        <v>817.62801057144395</v>
      </c>
      <c r="E242" s="11">
        <f t="shared" si="35"/>
        <v>700.3175134969398</v>
      </c>
      <c r="F242" s="11">
        <f t="shared" si="36"/>
        <v>139464.48429875058</v>
      </c>
      <c r="H242" s="129">
        <f>IF(Principal!$D$25="Anual",IF(MOD(B242+1,12)=0,$W$2*((1+$W$3)^M242),0),$W$2*((1+$W$3)^M242)/12)</f>
        <v>398.2477837020669</v>
      </c>
      <c r="I242" s="68">
        <f t="shared" si="30"/>
        <v>2163.3652327704508</v>
      </c>
      <c r="J242" s="43">
        <f>SUM($I$14:I242)</f>
        <v>487348.41993162921</v>
      </c>
      <c r="K242" s="11">
        <f t="shared" si="31"/>
        <v>0</v>
      </c>
      <c r="L242" s="5">
        <f t="shared" si="32"/>
        <v>1916.1933077704507</v>
      </c>
      <c r="M242" s="10">
        <f t="shared" si="33"/>
        <v>19</v>
      </c>
      <c r="N242" s="189">
        <f>SUM(L242:L253)</f>
        <v>22994.319693245416</v>
      </c>
      <c r="O242" s="130">
        <f>IF(Principal!$D$30="Anual",IF(MOD(B242+1,12)=0,VLOOKUP(M242,'Flujos Anuales'!$B$8:$K$39,9),0),VLOOKUP(M242,'Flujos Anuales'!$B$8:$K$39,9)/12)</f>
        <v>486.54355346338389</v>
      </c>
      <c r="P242" s="120">
        <f>VLOOKUP(M242,'Flujos Anuales'!$B$8:$K$39,10)/12</f>
        <v>41.981786027912747</v>
      </c>
      <c r="Q242" s="120">
        <f t="shared" si="34"/>
        <v>2444.7186472617473</v>
      </c>
    </row>
    <row r="243" spans="2:17" x14ac:dyDescent="0.35">
      <c r="B243" s="10">
        <v>229</v>
      </c>
      <c r="C243" s="11">
        <f t="shared" si="28"/>
        <v>1517.9455240683837</v>
      </c>
      <c r="D243" s="11">
        <f t="shared" si="29"/>
        <v>813.54282507604512</v>
      </c>
      <c r="E243" s="11">
        <f t="shared" si="35"/>
        <v>704.40269899233863</v>
      </c>
      <c r="F243" s="11">
        <f t="shared" si="36"/>
        <v>138760.08159975824</v>
      </c>
      <c r="H243" s="129">
        <f>IF(Principal!$D$25="Anual",IF(MOD(B243+1,12)=0,$W$2*((1+$W$3)^M243),0),$W$2*((1+$W$3)^M243)/12)</f>
        <v>398.2477837020669</v>
      </c>
      <c r="I243" s="68">
        <f t="shared" si="30"/>
        <v>2163.3652327704508</v>
      </c>
      <c r="J243" s="43">
        <f>SUM($I$14:I243)</f>
        <v>489511.78516439965</v>
      </c>
      <c r="K243" s="11">
        <f t="shared" si="31"/>
        <v>0</v>
      </c>
      <c r="L243" s="5">
        <f t="shared" si="32"/>
        <v>1916.1933077704507</v>
      </c>
      <c r="M243" s="10">
        <f t="shared" si="33"/>
        <v>19</v>
      </c>
      <c r="N243" s="189"/>
      <c r="O243" s="130">
        <f>IF(Principal!$D$30="Anual",IF(MOD(B243+1,12)=0,VLOOKUP(M243,'Flujos Anuales'!$B$8:$K$39,9),0),VLOOKUP(M243,'Flujos Anuales'!$B$8:$K$39,9)/12)</f>
        <v>486.54355346338389</v>
      </c>
      <c r="P243" s="120">
        <f>VLOOKUP(M243,'Flujos Anuales'!$B$8:$K$39,10)/12</f>
        <v>41.981786027912747</v>
      </c>
      <c r="Q243" s="120">
        <f t="shared" si="34"/>
        <v>2444.7186472617473</v>
      </c>
    </row>
    <row r="244" spans="2:17" x14ac:dyDescent="0.35">
      <c r="B244" s="10">
        <v>230</v>
      </c>
      <c r="C244" s="11">
        <f t="shared" si="28"/>
        <v>1517.9455240683837</v>
      </c>
      <c r="D244" s="11">
        <f t="shared" si="29"/>
        <v>809.43380933192304</v>
      </c>
      <c r="E244" s="11">
        <f t="shared" si="35"/>
        <v>708.5117147364607</v>
      </c>
      <c r="F244" s="11">
        <f t="shared" si="36"/>
        <v>138051.56988502177</v>
      </c>
      <c r="H244" s="129">
        <f>IF(Principal!$D$25="Anual",IF(MOD(B244+1,12)=0,$W$2*((1+$W$3)^M244),0),$W$2*((1+$W$3)^M244)/12)</f>
        <v>398.2477837020669</v>
      </c>
      <c r="I244" s="68">
        <f t="shared" si="30"/>
        <v>2163.3652327704508</v>
      </c>
      <c r="J244" s="43">
        <f>SUM($I$14:I244)</f>
        <v>491675.1503971701</v>
      </c>
      <c r="K244" s="11">
        <f t="shared" si="31"/>
        <v>0</v>
      </c>
      <c r="L244" s="5">
        <f t="shared" si="32"/>
        <v>1916.1933077704507</v>
      </c>
      <c r="M244" s="10">
        <f t="shared" si="33"/>
        <v>19</v>
      </c>
      <c r="N244" s="189"/>
      <c r="O244" s="130">
        <f>IF(Principal!$D$30="Anual",IF(MOD(B244+1,12)=0,VLOOKUP(M244,'Flujos Anuales'!$B$8:$K$39,9),0),VLOOKUP(M244,'Flujos Anuales'!$B$8:$K$39,9)/12)</f>
        <v>486.54355346338389</v>
      </c>
      <c r="P244" s="120">
        <f>VLOOKUP(M244,'Flujos Anuales'!$B$8:$K$39,10)/12</f>
        <v>41.981786027912747</v>
      </c>
      <c r="Q244" s="120">
        <f t="shared" si="34"/>
        <v>2444.7186472617473</v>
      </c>
    </row>
    <row r="245" spans="2:17" x14ac:dyDescent="0.35">
      <c r="B245" s="10">
        <v>231</v>
      </c>
      <c r="C245" s="11">
        <f t="shared" si="28"/>
        <v>1517.9455240683837</v>
      </c>
      <c r="D245" s="11">
        <f t="shared" si="29"/>
        <v>805.30082432929373</v>
      </c>
      <c r="E245" s="11">
        <f t="shared" si="35"/>
        <v>712.64469973909002</v>
      </c>
      <c r="F245" s="11">
        <f t="shared" si="36"/>
        <v>137338.92518528269</v>
      </c>
      <c r="H245" s="129">
        <f>IF(Principal!$D$25="Anual",IF(MOD(B245+1,12)=0,$W$2*((1+$W$3)^M245),0),$W$2*((1+$W$3)^M245)/12)</f>
        <v>398.2477837020669</v>
      </c>
      <c r="I245" s="68">
        <f t="shared" si="30"/>
        <v>2163.3652327704508</v>
      </c>
      <c r="J245" s="43">
        <f>SUM($I$14:I245)</f>
        <v>493838.51562994055</v>
      </c>
      <c r="K245" s="11">
        <f t="shared" si="31"/>
        <v>0</v>
      </c>
      <c r="L245" s="5">
        <f t="shared" si="32"/>
        <v>1916.1933077704507</v>
      </c>
      <c r="M245" s="10">
        <f t="shared" si="33"/>
        <v>19</v>
      </c>
      <c r="N245" s="189"/>
      <c r="O245" s="130">
        <f>IF(Principal!$D$30="Anual",IF(MOD(B245+1,12)=0,VLOOKUP(M245,'Flujos Anuales'!$B$8:$K$39,9),0),VLOOKUP(M245,'Flujos Anuales'!$B$8:$K$39,9)/12)</f>
        <v>486.54355346338389</v>
      </c>
      <c r="P245" s="120">
        <f>VLOOKUP(M245,'Flujos Anuales'!$B$8:$K$39,10)/12</f>
        <v>41.981786027912747</v>
      </c>
      <c r="Q245" s="120">
        <f t="shared" si="34"/>
        <v>2444.7186472617473</v>
      </c>
    </row>
    <row r="246" spans="2:17" x14ac:dyDescent="0.35">
      <c r="B246" s="10">
        <v>232</v>
      </c>
      <c r="C246" s="11">
        <f t="shared" si="28"/>
        <v>1517.9455240683837</v>
      </c>
      <c r="D246" s="11">
        <f t="shared" si="29"/>
        <v>801.14373024748238</v>
      </c>
      <c r="E246" s="11">
        <f t="shared" si="35"/>
        <v>716.80179382090137</v>
      </c>
      <c r="F246" s="11">
        <f t="shared" si="36"/>
        <v>136622.12339146179</v>
      </c>
      <c r="H246" s="129">
        <f>IF(Principal!$D$25="Anual",IF(MOD(B246+1,12)=0,$W$2*((1+$W$3)^M246),0),$W$2*((1+$W$3)^M246)/12)</f>
        <v>398.2477837020669</v>
      </c>
      <c r="I246" s="68">
        <f t="shared" si="30"/>
        <v>2163.3652327704508</v>
      </c>
      <c r="J246" s="43">
        <f>SUM($I$14:I246)</f>
        <v>496001.880862711</v>
      </c>
      <c r="K246" s="11">
        <f t="shared" si="31"/>
        <v>0</v>
      </c>
      <c r="L246" s="5">
        <f t="shared" si="32"/>
        <v>1916.1933077704507</v>
      </c>
      <c r="M246" s="10">
        <f t="shared" si="33"/>
        <v>19</v>
      </c>
      <c r="N246" s="189"/>
      <c r="O246" s="130">
        <f>IF(Principal!$D$30="Anual",IF(MOD(B246+1,12)=0,VLOOKUP(M246,'Flujos Anuales'!$B$8:$K$39,9),0),VLOOKUP(M246,'Flujos Anuales'!$B$8:$K$39,9)/12)</f>
        <v>486.54355346338389</v>
      </c>
      <c r="P246" s="120">
        <f>VLOOKUP(M246,'Flujos Anuales'!$B$8:$K$39,10)/12</f>
        <v>41.981786027912747</v>
      </c>
      <c r="Q246" s="120">
        <f t="shared" si="34"/>
        <v>2444.7186472617473</v>
      </c>
    </row>
    <row r="247" spans="2:17" x14ac:dyDescent="0.35">
      <c r="B247" s="10">
        <v>233</v>
      </c>
      <c r="C247" s="11">
        <f t="shared" si="28"/>
        <v>1517.9455240683837</v>
      </c>
      <c r="D247" s="11">
        <f t="shared" si="29"/>
        <v>796.96238645019378</v>
      </c>
      <c r="E247" s="11">
        <f t="shared" si="35"/>
        <v>720.98313761818997</v>
      </c>
      <c r="F247" s="11">
        <f t="shared" si="36"/>
        <v>135901.14025384359</v>
      </c>
      <c r="H247" s="129">
        <f>IF(Principal!$D$25="Anual",IF(MOD(B247+1,12)=0,$W$2*((1+$W$3)^M247),0),$W$2*((1+$W$3)^M247)/12)</f>
        <v>398.2477837020669</v>
      </c>
      <c r="I247" s="68">
        <f t="shared" si="30"/>
        <v>2163.3652327704508</v>
      </c>
      <c r="J247" s="43">
        <f>SUM($I$14:I247)</f>
        <v>498165.24609548145</v>
      </c>
      <c r="K247" s="11">
        <f t="shared" si="31"/>
        <v>0</v>
      </c>
      <c r="L247" s="5">
        <f t="shared" si="32"/>
        <v>1916.1933077704507</v>
      </c>
      <c r="M247" s="10">
        <f t="shared" si="33"/>
        <v>19</v>
      </c>
      <c r="N247" s="189"/>
      <c r="O247" s="130">
        <f>IF(Principal!$D$30="Anual",IF(MOD(B247+1,12)=0,VLOOKUP(M247,'Flujos Anuales'!$B$8:$K$39,9),0),VLOOKUP(M247,'Flujos Anuales'!$B$8:$K$39,9)/12)</f>
        <v>486.54355346338389</v>
      </c>
      <c r="P247" s="120">
        <f>VLOOKUP(M247,'Flujos Anuales'!$B$8:$K$39,10)/12</f>
        <v>41.981786027912747</v>
      </c>
      <c r="Q247" s="120">
        <f t="shared" si="34"/>
        <v>2444.7186472617473</v>
      </c>
    </row>
    <row r="248" spans="2:17" x14ac:dyDescent="0.35">
      <c r="B248" s="10">
        <v>234</v>
      </c>
      <c r="C248" s="11">
        <f t="shared" si="28"/>
        <v>1517.9455240683837</v>
      </c>
      <c r="D248" s="11">
        <f t="shared" si="29"/>
        <v>792.75665148075439</v>
      </c>
      <c r="E248" s="11">
        <f t="shared" si="35"/>
        <v>725.18887258762936</v>
      </c>
      <c r="F248" s="11">
        <f t="shared" si="36"/>
        <v>135175.95138125596</v>
      </c>
      <c r="H248" s="129">
        <f>IF(Principal!$D$25="Anual",IF(MOD(B248+1,12)=0,$W$2*((1+$W$3)^M248),0),$W$2*((1+$W$3)^M248)/12)</f>
        <v>398.2477837020669</v>
      </c>
      <c r="I248" s="68">
        <f t="shared" si="30"/>
        <v>2163.3652327704508</v>
      </c>
      <c r="J248" s="43">
        <f>SUM($I$14:I248)</f>
        <v>500328.61132825189</v>
      </c>
      <c r="K248" s="11">
        <f t="shared" si="31"/>
        <v>0</v>
      </c>
      <c r="L248" s="5">
        <f t="shared" si="32"/>
        <v>1916.1933077704507</v>
      </c>
      <c r="M248" s="10">
        <f t="shared" si="33"/>
        <v>19</v>
      </c>
      <c r="N248" s="189"/>
      <c r="O248" s="130">
        <f>IF(Principal!$D$30="Anual",IF(MOD(B248+1,12)=0,VLOOKUP(M248,'Flujos Anuales'!$B$8:$K$39,9),0),VLOOKUP(M248,'Flujos Anuales'!$B$8:$K$39,9)/12)</f>
        <v>486.54355346338389</v>
      </c>
      <c r="P248" s="120">
        <f>VLOOKUP(M248,'Flujos Anuales'!$B$8:$K$39,10)/12</f>
        <v>41.981786027912747</v>
      </c>
      <c r="Q248" s="120">
        <f t="shared" si="34"/>
        <v>2444.7186472617473</v>
      </c>
    </row>
    <row r="249" spans="2:17" x14ac:dyDescent="0.35">
      <c r="B249" s="10">
        <v>235</v>
      </c>
      <c r="C249" s="11">
        <f t="shared" si="28"/>
        <v>1517.9455240683837</v>
      </c>
      <c r="D249" s="11">
        <f t="shared" si="29"/>
        <v>788.52638305732648</v>
      </c>
      <c r="E249" s="11">
        <f t="shared" si="35"/>
        <v>729.41914101105726</v>
      </c>
      <c r="F249" s="11">
        <f t="shared" si="36"/>
        <v>134446.53224024491</v>
      </c>
      <c r="H249" s="129">
        <f>IF(Principal!$D$25="Anual",IF(MOD(B249+1,12)=0,$W$2*((1+$W$3)^M249),0),$W$2*((1+$W$3)^M249)/12)</f>
        <v>398.2477837020669</v>
      </c>
      <c r="I249" s="68">
        <f t="shared" si="30"/>
        <v>2163.3652327704508</v>
      </c>
      <c r="J249" s="43">
        <f>SUM($I$14:I249)</f>
        <v>502491.97656102234</v>
      </c>
      <c r="K249" s="11">
        <f t="shared" si="31"/>
        <v>0</v>
      </c>
      <c r="L249" s="5">
        <f t="shared" si="32"/>
        <v>1916.1933077704507</v>
      </c>
      <c r="M249" s="10">
        <f t="shared" si="33"/>
        <v>19</v>
      </c>
      <c r="N249" s="189"/>
      <c r="O249" s="130">
        <f>IF(Principal!$D$30="Anual",IF(MOD(B249+1,12)=0,VLOOKUP(M249,'Flujos Anuales'!$B$8:$K$39,9),0),VLOOKUP(M249,'Flujos Anuales'!$B$8:$K$39,9)/12)</f>
        <v>486.54355346338389</v>
      </c>
      <c r="P249" s="120">
        <f>VLOOKUP(M249,'Flujos Anuales'!$B$8:$K$39,10)/12</f>
        <v>41.981786027912747</v>
      </c>
      <c r="Q249" s="120">
        <f t="shared" si="34"/>
        <v>2444.7186472617473</v>
      </c>
    </row>
    <row r="250" spans="2:17" x14ac:dyDescent="0.35">
      <c r="B250" s="10">
        <v>236</v>
      </c>
      <c r="C250" s="11">
        <f t="shared" si="28"/>
        <v>1517.9455240683837</v>
      </c>
      <c r="D250" s="11">
        <f t="shared" si="29"/>
        <v>784.27143806809534</v>
      </c>
      <c r="E250" s="11">
        <f t="shared" si="35"/>
        <v>733.67408600028841</v>
      </c>
      <c r="F250" s="11">
        <f t="shared" si="36"/>
        <v>133712.85815424463</v>
      </c>
      <c r="H250" s="129">
        <f>IF(Principal!$D$25="Anual",IF(MOD(B250+1,12)=0,$W$2*((1+$W$3)^M250),0),$W$2*((1+$W$3)^M250)/12)</f>
        <v>398.2477837020669</v>
      </c>
      <c r="I250" s="68">
        <f t="shared" si="30"/>
        <v>2163.3652327704508</v>
      </c>
      <c r="J250" s="43">
        <f>SUM($I$14:I250)</f>
        <v>504655.34179379279</v>
      </c>
      <c r="K250" s="11">
        <f t="shared" si="31"/>
        <v>0</v>
      </c>
      <c r="L250" s="5">
        <f t="shared" si="32"/>
        <v>1916.1933077704507</v>
      </c>
      <c r="M250" s="10">
        <f t="shared" si="33"/>
        <v>19</v>
      </c>
      <c r="N250" s="189"/>
      <c r="O250" s="130">
        <f>IF(Principal!$D$30="Anual",IF(MOD(B250+1,12)=0,VLOOKUP(M250,'Flujos Anuales'!$B$8:$K$39,9),0),VLOOKUP(M250,'Flujos Anuales'!$B$8:$K$39,9)/12)</f>
        <v>486.54355346338389</v>
      </c>
      <c r="P250" s="120">
        <f>VLOOKUP(M250,'Flujos Anuales'!$B$8:$K$39,10)/12</f>
        <v>41.981786027912747</v>
      </c>
      <c r="Q250" s="120">
        <f t="shared" si="34"/>
        <v>2444.7186472617473</v>
      </c>
    </row>
    <row r="251" spans="2:17" x14ac:dyDescent="0.35">
      <c r="B251" s="10">
        <v>237</v>
      </c>
      <c r="C251" s="11">
        <f t="shared" si="28"/>
        <v>1517.9455240683837</v>
      </c>
      <c r="D251" s="11">
        <f t="shared" si="29"/>
        <v>779.99167256642704</v>
      </c>
      <c r="E251" s="11">
        <f t="shared" si="35"/>
        <v>737.95385150195671</v>
      </c>
      <c r="F251" s="11">
        <f t="shared" si="36"/>
        <v>132974.90430274268</v>
      </c>
      <c r="H251" s="129">
        <f>IF(Principal!$D$25="Anual",IF(MOD(B251+1,12)=0,$W$2*((1+$W$3)^M251),0),$W$2*((1+$W$3)^M251)/12)</f>
        <v>398.2477837020669</v>
      </c>
      <c r="I251" s="68">
        <f t="shared" si="30"/>
        <v>2163.3652327704508</v>
      </c>
      <c r="J251" s="43">
        <f>SUM($I$14:I251)</f>
        <v>506818.70702656324</v>
      </c>
      <c r="K251" s="11">
        <f t="shared" si="31"/>
        <v>0</v>
      </c>
      <c r="L251" s="5">
        <f t="shared" si="32"/>
        <v>1916.1933077704507</v>
      </c>
      <c r="M251" s="10">
        <f t="shared" si="33"/>
        <v>19</v>
      </c>
      <c r="N251" s="189"/>
      <c r="O251" s="130">
        <f>IF(Principal!$D$30="Anual",IF(MOD(B251+1,12)=0,VLOOKUP(M251,'Flujos Anuales'!$B$8:$K$39,9),0),VLOOKUP(M251,'Flujos Anuales'!$B$8:$K$39,9)/12)</f>
        <v>486.54355346338389</v>
      </c>
      <c r="P251" s="120">
        <f>VLOOKUP(M251,'Flujos Anuales'!$B$8:$K$39,10)/12</f>
        <v>41.981786027912747</v>
      </c>
      <c r="Q251" s="120">
        <f t="shared" si="34"/>
        <v>2444.7186472617473</v>
      </c>
    </row>
    <row r="252" spans="2:17" x14ac:dyDescent="0.35">
      <c r="B252" s="10">
        <v>238</v>
      </c>
      <c r="C252" s="11">
        <f t="shared" si="28"/>
        <v>1517.9455240683837</v>
      </c>
      <c r="D252" s="11">
        <f t="shared" si="29"/>
        <v>775.68694176599899</v>
      </c>
      <c r="E252" s="11">
        <f t="shared" si="35"/>
        <v>742.25858230238475</v>
      </c>
      <c r="F252" s="11">
        <f t="shared" si="36"/>
        <v>132232.64572044028</v>
      </c>
      <c r="H252" s="129">
        <f>IF(Principal!$D$25="Anual",IF(MOD(B252+1,12)=0,$W$2*((1+$W$3)^M252),0),$W$2*((1+$W$3)^M252)/12)</f>
        <v>398.2477837020669</v>
      </c>
      <c r="I252" s="68">
        <f t="shared" si="30"/>
        <v>2163.3652327704508</v>
      </c>
      <c r="J252" s="43">
        <f>SUM($I$14:I252)</f>
        <v>508982.07225933368</v>
      </c>
      <c r="K252" s="11">
        <f t="shared" si="31"/>
        <v>0</v>
      </c>
      <c r="L252" s="5">
        <f t="shared" si="32"/>
        <v>1916.1933077704507</v>
      </c>
      <c r="M252" s="10">
        <f t="shared" si="33"/>
        <v>19</v>
      </c>
      <c r="N252" s="189"/>
      <c r="O252" s="130">
        <f>IF(Principal!$D$30="Anual",IF(MOD(B252+1,12)=0,VLOOKUP(M252,'Flujos Anuales'!$B$8:$K$39,9),0),VLOOKUP(M252,'Flujos Anuales'!$B$8:$K$39,9)/12)</f>
        <v>486.54355346338389</v>
      </c>
      <c r="P252" s="120">
        <f>VLOOKUP(M252,'Flujos Anuales'!$B$8:$K$39,10)/12</f>
        <v>41.981786027912747</v>
      </c>
      <c r="Q252" s="120">
        <f t="shared" si="34"/>
        <v>2444.7186472617473</v>
      </c>
    </row>
    <row r="253" spans="2:17" x14ac:dyDescent="0.35">
      <c r="B253" s="10">
        <v>239</v>
      </c>
      <c r="C253" s="11">
        <f t="shared" si="28"/>
        <v>1517.9455240683837</v>
      </c>
      <c r="D253" s="11">
        <f t="shared" si="29"/>
        <v>771.35710003590168</v>
      </c>
      <c r="E253" s="11">
        <f t="shared" si="35"/>
        <v>746.58842403248207</v>
      </c>
      <c r="F253" s="11">
        <f t="shared" si="36"/>
        <v>131486.05729640779</v>
      </c>
      <c r="H253" s="129">
        <f>IF(Principal!$D$25="Anual",IF(MOD(B253+1,12)=0,$W$2*((1+$W$3)^M253),0),$W$2*((1+$W$3)^M253)/12)</f>
        <v>398.2477837020669</v>
      </c>
      <c r="I253" s="68">
        <f t="shared" si="30"/>
        <v>2163.3652327704508</v>
      </c>
      <c r="J253" s="43">
        <f>SUM($I$14:I253)</f>
        <v>511145.43749210413</v>
      </c>
      <c r="K253" s="11">
        <f t="shared" si="31"/>
        <v>0</v>
      </c>
      <c r="L253" s="5">
        <f t="shared" si="32"/>
        <v>1916.1933077704507</v>
      </c>
      <c r="M253" s="10">
        <f t="shared" si="33"/>
        <v>19</v>
      </c>
      <c r="N253" s="189"/>
      <c r="O253" s="130">
        <f>IF(Principal!$D$30="Anual",IF(MOD(B253+1,12)=0,VLOOKUP(M253,'Flujos Anuales'!$B$8:$K$39,9),0),VLOOKUP(M253,'Flujos Anuales'!$B$8:$K$39,9)/12)</f>
        <v>486.54355346338389</v>
      </c>
      <c r="P253" s="120">
        <f>VLOOKUP(M253,'Flujos Anuales'!$B$8:$K$39,10)/12</f>
        <v>41.981786027912747</v>
      </c>
      <c r="Q253" s="120">
        <f t="shared" si="34"/>
        <v>2444.7186472617473</v>
      </c>
    </row>
    <row r="254" spans="2:17" x14ac:dyDescent="0.35">
      <c r="B254" s="10">
        <v>240</v>
      </c>
      <c r="C254" s="11">
        <f t="shared" si="28"/>
        <v>1517.9455240683837</v>
      </c>
      <c r="D254" s="11">
        <f t="shared" si="29"/>
        <v>767.00200089571217</v>
      </c>
      <c r="E254" s="11">
        <f t="shared" si="35"/>
        <v>750.94352317267158</v>
      </c>
      <c r="F254" s="11">
        <f t="shared" si="36"/>
        <v>130735.11377323512</v>
      </c>
      <c r="H254" s="129">
        <f>IF(Principal!$D$25="Anual",IF(MOD(B254+1,12)=0,$W$2*((1+$W$3)^M254),0),$W$2*((1+$W$3)^M254)/12)</f>
        <v>400.98298503232121</v>
      </c>
      <c r="I254" s="68">
        <f t="shared" si="30"/>
        <v>2166.1004341007051</v>
      </c>
      <c r="J254" s="43">
        <f>SUM($I$14:I254)</f>
        <v>513311.53792620485</v>
      </c>
      <c r="K254" s="11">
        <f t="shared" si="31"/>
        <v>0</v>
      </c>
      <c r="L254" s="5">
        <f t="shared" si="32"/>
        <v>1918.928509100705</v>
      </c>
      <c r="M254" s="10">
        <f t="shared" si="33"/>
        <v>20</v>
      </c>
      <c r="N254" s="189">
        <f>SUM(L254:L265)</f>
        <v>23027.142109208453</v>
      </c>
      <c r="O254" s="130">
        <f>IF(Principal!$D$30="Anual",IF(MOD(B254+1,12)=0,VLOOKUP(M254,'Flujos Anuales'!$B$8:$K$39,9),0),VLOOKUP(M254,'Flujos Anuales'!$B$8:$K$39,9)/12)</f>
        <v>508.76636472883933</v>
      </c>
      <c r="P254" s="120">
        <f>VLOOKUP(M254,'Flujos Anuales'!$B$8:$K$39,10)/12</f>
        <v>42.401603888191879</v>
      </c>
      <c r="Q254" s="120">
        <f t="shared" si="34"/>
        <v>2470.096477717736</v>
      </c>
    </row>
    <row r="255" spans="2:17" x14ac:dyDescent="0.35">
      <c r="B255" s="10">
        <v>241</v>
      </c>
      <c r="C255" s="11">
        <f t="shared" si="28"/>
        <v>1517.9455240683837</v>
      </c>
      <c r="D255" s="11">
        <f t="shared" si="29"/>
        <v>762.62149701053818</v>
      </c>
      <c r="E255" s="11">
        <f t="shared" si="35"/>
        <v>755.32402705784557</v>
      </c>
      <c r="F255" s="11">
        <f t="shared" si="36"/>
        <v>129979.78974617728</v>
      </c>
      <c r="H255" s="129">
        <f>IF(Principal!$D$25="Anual",IF(MOD(B255+1,12)=0,$W$2*((1+$W$3)^M255),0),$W$2*((1+$W$3)^M255)/12)</f>
        <v>400.98298503232121</v>
      </c>
      <c r="I255" s="68">
        <f t="shared" si="30"/>
        <v>2166.1004341007051</v>
      </c>
      <c r="J255" s="43">
        <f>SUM($I$14:I255)</f>
        <v>515477.63836030557</v>
      </c>
      <c r="K255" s="11">
        <f t="shared" si="31"/>
        <v>0</v>
      </c>
      <c r="L255" s="5">
        <f t="shared" si="32"/>
        <v>1918.928509100705</v>
      </c>
      <c r="M255" s="10">
        <f t="shared" si="33"/>
        <v>20</v>
      </c>
      <c r="N255" s="189"/>
      <c r="O255" s="130">
        <f>IF(Principal!$D$30="Anual",IF(MOD(B255+1,12)=0,VLOOKUP(M255,'Flujos Anuales'!$B$8:$K$39,9),0),VLOOKUP(M255,'Flujos Anuales'!$B$8:$K$39,9)/12)</f>
        <v>508.76636472883933</v>
      </c>
      <c r="P255" s="120">
        <f>VLOOKUP(M255,'Flujos Anuales'!$B$8:$K$39,10)/12</f>
        <v>42.401603888191879</v>
      </c>
      <c r="Q255" s="120">
        <f t="shared" si="34"/>
        <v>2470.096477717736</v>
      </c>
    </row>
    <row r="256" spans="2:17" x14ac:dyDescent="0.35">
      <c r="B256" s="10">
        <v>242</v>
      </c>
      <c r="C256" s="11">
        <f t="shared" si="28"/>
        <v>1517.9455240683837</v>
      </c>
      <c r="D256" s="11">
        <f t="shared" si="29"/>
        <v>758.21544018603413</v>
      </c>
      <c r="E256" s="11">
        <f t="shared" si="35"/>
        <v>759.73008388234962</v>
      </c>
      <c r="F256" s="11">
        <f t="shared" si="36"/>
        <v>129220.05966229494</v>
      </c>
      <c r="H256" s="129">
        <f>IF(Principal!$D$25="Anual",IF(MOD(B256+1,12)=0,$W$2*((1+$W$3)^M256),0),$W$2*((1+$W$3)^M256)/12)</f>
        <v>400.98298503232121</v>
      </c>
      <c r="I256" s="68">
        <f t="shared" si="30"/>
        <v>2166.1004341007051</v>
      </c>
      <c r="J256" s="43">
        <f>SUM($I$14:I256)</f>
        <v>517643.73879440629</v>
      </c>
      <c r="K256" s="11">
        <f t="shared" si="31"/>
        <v>0</v>
      </c>
      <c r="L256" s="5">
        <f t="shared" si="32"/>
        <v>1918.928509100705</v>
      </c>
      <c r="M256" s="10">
        <f t="shared" si="33"/>
        <v>20</v>
      </c>
      <c r="N256" s="189"/>
      <c r="O256" s="130">
        <f>IF(Principal!$D$30="Anual",IF(MOD(B256+1,12)=0,VLOOKUP(M256,'Flujos Anuales'!$B$8:$K$39,9),0),VLOOKUP(M256,'Flujos Anuales'!$B$8:$K$39,9)/12)</f>
        <v>508.76636472883933</v>
      </c>
      <c r="P256" s="120">
        <f>VLOOKUP(M256,'Flujos Anuales'!$B$8:$K$39,10)/12</f>
        <v>42.401603888191879</v>
      </c>
      <c r="Q256" s="120">
        <f t="shared" si="34"/>
        <v>2470.096477717736</v>
      </c>
    </row>
    <row r="257" spans="2:17" x14ac:dyDescent="0.35">
      <c r="B257" s="10">
        <v>243</v>
      </c>
      <c r="C257" s="11">
        <f t="shared" si="28"/>
        <v>1517.9455240683837</v>
      </c>
      <c r="D257" s="11">
        <f t="shared" si="29"/>
        <v>753.78368136338713</v>
      </c>
      <c r="E257" s="11">
        <f t="shared" si="35"/>
        <v>764.16184270499662</v>
      </c>
      <c r="F257" s="11">
        <f t="shared" si="36"/>
        <v>128455.89781958994</v>
      </c>
      <c r="H257" s="129">
        <f>IF(Principal!$D$25="Anual",IF(MOD(B257+1,12)=0,$W$2*((1+$W$3)^M257),0),$W$2*((1+$W$3)^M257)/12)</f>
        <v>400.98298503232121</v>
      </c>
      <c r="I257" s="68">
        <f t="shared" si="30"/>
        <v>2166.1004341007051</v>
      </c>
      <c r="J257" s="43">
        <f>SUM($I$14:I257)</f>
        <v>519809.83922850701</v>
      </c>
      <c r="K257" s="11">
        <f t="shared" si="31"/>
        <v>0</v>
      </c>
      <c r="L257" s="5">
        <f t="shared" si="32"/>
        <v>1918.928509100705</v>
      </c>
      <c r="M257" s="10">
        <f t="shared" si="33"/>
        <v>20</v>
      </c>
      <c r="N257" s="189"/>
      <c r="O257" s="130">
        <f>IF(Principal!$D$30="Anual",IF(MOD(B257+1,12)=0,VLOOKUP(M257,'Flujos Anuales'!$B$8:$K$39,9),0),VLOOKUP(M257,'Flujos Anuales'!$B$8:$K$39,9)/12)</f>
        <v>508.76636472883933</v>
      </c>
      <c r="P257" s="120">
        <f>VLOOKUP(M257,'Flujos Anuales'!$B$8:$K$39,10)/12</f>
        <v>42.401603888191879</v>
      </c>
      <c r="Q257" s="120">
        <f t="shared" si="34"/>
        <v>2470.096477717736</v>
      </c>
    </row>
    <row r="258" spans="2:17" x14ac:dyDescent="0.35">
      <c r="B258" s="10">
        <v>244</v>
      </c>
      <c r="C258" s="11">
        <f t="shared" si="28"/>
        <v>1517.9455240683837</v>
      </c>
      <c r="D258" s="11">
        <f t="shared" si="29"/>
        <v>749.32607061427473</v>
      </c>
      <c r="E258" s="11">
        <f t="shared" si="35"/>
        <v>768.61945345410902</v>
      </c>
      <c r="F258" s="11">
        <f t="shared" si="36"/>
        <v>127687.27836613583</v>
      </c>
      <c r="H258" s="129">
        <f>IF(Principal!$D$25="Anual",IF(MOD(B258+1,12)=0,$W$2*((1+$W$3)^M258),0),$W$2*((1+$W$3)^M258)/12)</f>
        <v>400.98298503232121</v>
      </c>
      <c r="I258" s="68">
        <f t="shared" si="30"/>
        <v>2166.1004341007051</v>
      </c>
      <c r="J258" s="43">
        <f>SUM($I$14:I258)</f>
        <v>521975.93966260774</v>
      </c>
      <c r="K258" s="11">
        <f t="shared" si="31"/>
        <v>0</v>
      </c>
      <c r="L258" s="5">
        <f t="shared" si="32"/>
        <v>1918.928509100705</v>
      </c>
      <c r="M258" s="10">
        <f t="shared" si="33"/>
        <v>20</v>
      </c>
      <c r="N258" s="189"/>
      <c r="O258" s="130">
        <f>IF(Principal!$D$30="Anual",IF(MOD(B258+1,12)=0,VLOOKUP(M258,'Flujos Anuales'!$B$8:$K$39,9),0),VLOOKUP(M258,'Flujos Anuales'!$B$8:$K$39,9)/12)</f>
        <v>508.76636472883933</v>
      </c>
      <c r="P258" s="120">
        <f>VLOOKUP(M258,'Flujos Anuales'!$B$8:$K$39,10)/12</f>
        <v>42.401603888191879</v>
      </c>
      <c r="Q258" s="120">
        <f t="shared" si="34"/>
        <v>2470.096477717736</v>
      </c>
    </row>
    <row r="259" spans="2:17" x14ac:dyDescent="0.35">
      <c r="B259" s="10">
        <v>245</v>
      </c>
      <c r="C259" s="11">
        <f t="shared" si="28"/>
        <v>1517.9455240683837</v>
      </c>
      <c r="D259" s="11">
        <f t="shared" si="29"/>
        <v>744.8424571357923</v>
      </c>
      <c r="E259" s="11">
        <f t="shared" si="35"/>
        <v>773.10306693259145</v>
      </c>
      <c r="F259" s="11">
        <f t="shared" si="36"/>
        <v>126914.17529920324</v>
      </c>
      <c r="H259" s="129">
        <f>IF(Principal!$D$25="Anual",IF(MOD(B259+1,12)=0,$W$2*((1+$W$3)^M259),0),$W$2*((1+$W$3)^M259)/12)</f>
        <v>400.98298503232121</v>
      </c>
      <c r="I259" s="68">
        <f t="shared" si="30"/>
        <v>2166.1004341007051</v>
      </c>
      <c r="J259" s="43">
        <f>SUM($I$14:I259)</f>
        <v>524142.04009670846</v>
      </c>
      <c r="K259" s="11">
        <f t="shared" si="31"/>
        <v>0</v>
      </c>
      <c r="L259" s="5">
        <f t="shared" si="32"/>
        <v>1918.928509100705</v>
      </c>
      <c r="M259" s="10">
        <f t="shared" si="33"/>
        <v>20</v>
      </c>
      <c r="N259" s="189"/>
      <c r="O259" s="130">
        <f>IF(Principal!$D$30="Anual",IF(MOD(B259+1,12)=0,VLOOKUP(M259,'Flujos Anuales'!$B$8:$K$39,9),0),VLOOKUP(M259,'Flujos Anuales'!$B$8:$K$39,9)/12)</f>
        <v>508.76636472883933</v>
      </c>
      <c r="P259" s="120">
        <f>VLOOKUP(M259,'Flujos Anuales'!$B$8:$K$39,10)/12</f>
        <v>42.401603888191879</v>
      </c>
      <c r="Q259" s="120">
        <f t="shared" si="34"/>
        <v>2470.096477717736</v>
      </c>
    </row>
    <row r="260" spans="2:17" x14ac:dyDescent="0.35">
      <c r="B260" s="10">
        <v>246</v>
      </c>
      <c r="C260" s="11">
        <f t="shared" si="28"/>
        <v>1517.9455240683837</v>
      </c>
      <c r="D260" s="11">
        <f t="shared" si="29"/>
        <v>740.3326892453523</v>
      </c>
      <c r="E260" s="11">
        <f t="shared" si="35"/>
        <v>777.61283482303145</v>
      </c>
      <c r="F260" s="11">
        <f t="shared" si="36"/>
        <v>126136.56246438021</v>
      </c>
      <c r="H260" s="129">
        <f>IF(Principal!$D$25="Anual",IF(MOD(B260+1,12)=0,$W$2*((1+$W$3)^M260),0),$W$2*((1+$W$3)^M260)/12)</f>
        <v>400.98298503232121</v>
      </c>
      <c r="I260" s="68">
        <f t="shared" si="30"/>
        <v>2166.1004341007051</v>
      </c>
      <c r="J260" s="43">
        <f>SUM($I$14:I260)</f>
        <v>526308.14053080918</v>
      </c>
      <c r="K260" s="11">
        <f t="shared" si="31"/>
        <v>0</v>
      </c>
      <c r="L260" s="5">
        <f t="shared" si="32"/>
        <v>1918.928509100705</v>
      </c>
      <c r="M260" s="10">
        <f t="shared" si="33"/>
        <v>20</v>
      </c>
      <c r="N260" s="189"/>
      <c r="O260" s="130">
        <f>IF(Principal!$D$30="Anual",IF(MOD(B260+1,12)=0,VLOOKUP(M260,'Flujos Anuales'!$B$8:$K$39,9),0),VLOOKUP(M260,'Flujos Anuales'!$B$8:$K$39,9)/12)</f>
        <v>508.76636472883933</v>
      </c>
      <c r="P260" s="120">
        <f>VLOOKUP(M260,'Flujos Anuales'!$B$8:$K$39,10)/12</f>
        <v>42.401603888191879</v>
      </c>
      <c r="Q260" s="120">
        <f t="shared" si="34"/>
        <v>2470.096477717736</v>
      </c>
    </row>
    <row r="261" spans="2:17" x14ac:dyDescent="0.35">
      <c r="B261" s="10">
        <v>247</v>
      </c>
      <c r="C261" s="11">
        <f t="shared" si="28"/>
        <v>1517.9455240683837</v>
      </c>
      <c r="D261" s="11">
        <f t="shared" si="29"/>
        <v>735.79661437555126</v>
      </c>
      <c r="E261" s="11">
        <f t="shared" si="35"/>
        <v>782.14890969283249</v>
      </c>
      <c r="F261" s="11">
        <f t="shared" si="36"/>
        <v>125354.41355468739</v>
      </c>
      <c r="H261" s="129">
        <f>IF(Principal!$D$25="Anual",IF(MOD(B261+1,12)=0,$W$2*((1+$W$3)^M261),0),$W$2*((1+$W$3)^M261)/12)</f>
        <v>400.98298503232121</v>
      </c>
      <c r="I261" s="68">
        <f t="shared" si="30"/>
        <v>2166.1004341007051</v>
      </c>
      <c r="J261" s="43">
        <f>SUM($I$14:I261)</f>
        <v>528474.2409649099</v>
      </c>
      <c r="K261" s="11">
        <f t="shared" si="31"/>
        <v>0</v>
      </c>
      <c r="L261" s="5">
        <f t="shared" si="32"/>
        <v>1918.928509100705</v>
      </c>
      <c r="M261" s="10">
        <f t="shared" si="33"/>
        <v>20</v>
      </c>
      <c r="N261" s="189"/>
      <c r="O261" s="130">
        <f>IF(Principal!$D$30="Anual",IF(MOD(B261+1,12)=0,VLOOKUP(M261,'Flujos Anuales'!$B$8:$K$39,9),0),VLOOKUP(M261,'Flujos Anuales'!$B$8:$K$39,9)/12)</f>
        <v>508.76636472883933</v>
      </c>
      <c r="P261" s="120">
        <f>VLOOKUP(M261,'Flujos Anuales'!$B$8:$K$39,10)/12</f>
        <v>42.401603888191879</v>
      </c>
      <c r="Q261" s="120">
        <f t="shared" si="34"/>
        <v>2470.096477717736</v>
      </c>
    </row>
    <row r="262" spans="2:17" x14ac:dyDescent="0.35">
      <c r="B262" s="10">
        <v>248</v>
      </c>
      <c r="C262" s="11">
        <f t="shared" si="28"/>
        <v>1517.9455240683837</v>
      </c>
      <c r="D262" s="11">
        <f t="shared" si="29"/>
        <v>731.23407906900979</v>
      </c>
      <c r="E262" s="11">
        <f t="shared" si="35"/>
        <v>786.71144499937395</v>
      </c>
      <c r="F262" s="11">
        <f t="shared" si="36"/>
        <v>124567.70210968802</v>
      </c>
      <c r="H262" s="129">
        <f>IF(Principal!$D$25="Anual",IF(MOD(B262+1,12)=0,$W$2*((1+$W$3)^M262),0),$W$2*((1+$W$3)^M262)/12)</f>
        <v>400.98298503232121</v>
      </c>
      <c r="I262" s="68">
        <f t="shared" si="30"/>
        <v>2166.1004341007051</v>
      </c>
      <c r="J262" s="43">
        <f>SUM($I$14:I262)</f>
        <v>530640.34139901062</v>
      </c>
      <c r="K262" s="11">
        <f t="shared" si="31"/>
        <v>0</v>
      </c>
      <c r="L262" s="5">
        <f t="shared" si="32"/>
        <v>1918.928509100705</v>
      </c>
      <c r="M262" s="10">
        <f t="shared" si="33"/>
        <v>20</v>
      </c>
      <c r="N262" s="189"/>
      <c r="O262" s="130">
        <f>IF(Principal!$D$30="Anual",IF(MOD(B262+1,12)=0,VLOOKUP(M262,'Flujos Anuales'!$B$8:$K$39,9),0),VLOOKUP(M262,'Flujos Anuales'!$B$8:$K$39,9)/12)</f>
        <v>508.76636472883933</v>
      </c>
      <c r="P262" s="120">
        <f>VLOOKUP(M262,'Flujos Anuales'!$B$8:$K$39,10)/12</f>
        <v>42.401603888191879</v>
      </c>
      <c r="Q262" s="120">
        <f t="shared" si="34"/>
        <v>2470.096477717736</v>
      </c>
    </row>
    <row r="263" spans="2:17" x14ac:dyDescent="0.35">
      <c r="B263" s="10">
        <v>249</v>
      </c>
      <c r="C263" s="11">
        <f t="shared" si="28"/>
        <v>1517.9455240683837</v>
      </c>
      <c r="D263" s="11">
        <f t="shared" si="29"/>
        <v>726.64492897318019</v>
      </c>
      <c r="E263" s="11">
        <f t="shared" si="35"/>
        <v>791.30059509520356</v>
      </c>
      <c r="F263" s="11">
        <f t="shared" si="36"/>
        <v>123776.40151459281</v>
      </c>
      <c r="H263" s="129">
        <f>IF(Principal!$D$25="Anual",IF(MOD(B263+1,12)=0,$W$2*((1+$W$3)^M263),0),$W$2*((1+$W$3)^M263)/12)</f>
        <v>400.98298503232121</v>
      </c>
      <c r="I263" s="68">
        <f t="shared" si="30"/>
        <v>2166.1004341007051</v>
      </c>
      <c r="J263" s="43">
        <f>SUM($I$14:I263)</f>
        <v>532806.44183311134</v>
      </c>
      <c r="K263" s="11">
        <f t="shared" si="31"/>
        <v>0</v>
      </c>
      <c r="L263" s="5">
        <f t="shared" si="32"/>
        <v>1918.928509100705</v>
      </c>
      <c r="M263" s="10">
        <f t="shared" si="33"/>
        <v>20</v>
      </c>
      <c r="N263" s="189"/>
      <c r="O263" s="130">
        <f>IF(Principal!$D$30="Anual",IF(MOD(B263+1,12)=0,VLOOKUP(M263,'Flujos Anuales'!$B$8:$K$39,9),0),VLOOKUP(M263,'Flujos Anuales'!$B$8:$K$39,9)/12)</f>
        <v>508.76636472883933</v>
      </c>
      <c r="P263" s="120">
        <f>VLOOKUP(M263,'Flujos Anuales'!$B$8:$K$39,10)/12</f>
        <v>42.401603888191879</v>
      </c>
      <c r="Q263" s="120">
        <f t="shared" si="34"/>
        <v>2470.096477717736</v>
      </c>
    </row>
    <row r="264" spans="2:17" x14ac:dyDescent="0.35">
      <c r="B264" s="10">
        <v>250</v>
      </c>
      <c r="C264" s="11">
        <f t="shared" si="28"/>
        <v>1517.9455240683837</v>
      </c>
      <c r="D264" s="11">
        <f t="shared" si="29"/>
        <v>722.02900883512473</v>
      </c>
      <c r="E264" s="11">
        <f t="shared" si="35"/>
        <v>795.91651523325902</v>
      </c>
      <c r="F264" s="11">
        <f t="shared" si="36"/>
        <v>122980.48499935956</v>
      </c>
      <c r="H264" s="129">
        <f>IF(Principal!$D$25="Anual",IF(MOD(B264+1,12)=0,$W$2*((1+$W$3)^M264),0),$W$2*((1+$W$3)^M264)/12)</f>
        <v>400.98298503232121</v>
      </c>
      <c r="I264" s="68">
        <f t="shared" si="30"/>
        <v>2166.1004341007051</v>
      </c>
      <c r="J264" s="43">
        <f>SUM($I$14:I264)</f>
        <v>534972.54226721206</v>
      </c>
      <c r="K264" s="11">
        <f t="shared" si="31"/>
        <v>0</v>
      </c>
      <c r="L264" s="5">
        <f t="shared" si="32"/>
        <v>1918.928509100705</v>
      </c>
      <c r="M264" s="10">
        <f t="shared" si="33"/>
        <v>20</v>
      </c>
      <c r="N264" s="189"/>
      <c r="O264" s="130">
        <f>IF(Principal!$D$30="Anual",IF(MOD(B264+1,12)=0,VLOOKUP(M264,'Flujos Anuales'!$B$8:$K$39,9),0),VLOOKUP(M264,'Flujos Anuales'!$B$8:$K$39,9)/12)</f>
        <v>508.76636472883933</v>
      </c>
      <c r="P264" s="120">
        <f>VLOOKUP(M264,'Flujos Anuales'!$B$8:$K$39,10)/12</f>
        <v>42.401603888191879</v>
      </c>
      <c r="Q264" s="120">
        <f t="shared" si="34"/>
        <v>2470.096477717736</v>
      </c>
    </row>
    <row r="265" spans="2:17" x14ac:dyDescent="0.35">
      <c r="B265" s="10">
        <v>251</v>
      </c>
      <c r="C265" s="11">
        <f t="shared" si="28"/>
        <v>1517.9455240683837</v>
      </c>
      <c r="D265" s="11">
        <f t="shared" si="29"/>
        <v>717.38616249626409</v>
      </c>
      <c r="E265" s="11">
        <f t="shared" si="35"/>
        <v>800.55936157211966</v>
      </c>
      <c r="F265" s="11">
        <f t="shared" si="36"/>
        <v>122179.92563778744</v>
      </c>
      <c r="H265" s="129">
        <f>IF(Principal!$D$25="Anual",IF(MOD(B265+1,12)=0,$W$2*((1+$W$3)^M265),0),$W$2*((1+$W$3)^M265)/12)</f>
        <v>400.98298503232121</v>
      </c>
      <c r="I265" s="68">
        <f t="shared" si="30"/>
        <v>2166.1004341007051</v>
      </c>
      <c r="J265" s="43">
        <f>SUM($I$14:I265)</f>
        <v>537138.64270131278</v>
      </c>
      <c r="K265" s="11">
        <f t="shared" si="31"/>
        <v>0</v>
      </c>
      <c r="L265" s="5">
        <f t="shared" si="32"/>
        <v>1918.928509100705</v>
      </c>
      <c r="M265" s="10">
        <f t="shared" si="33"/>
        <v>20</v>
      </c>
      <c r="N265" s="189"/>
      <c r="O265" s="130">
        <f>IF(Principal!$D$30="Anual",IF(MOD(B265+1,12)=0,VLOOKUP(M265,'Flujos Anuales'!$B$8:$K$39,9),0),VLOOKUP(M265,'Flujos Anuales'!$B$8:$K$39,9)/12)</f>
        <v>508.76636472883933</v>
      </c>
      <c r="P265" s="120">
        <f>VLOOKUP(M265,'Flujos Anuales'!$B$8:$K$39,10)/12</f>
        <v>42.401603888191879</v>
      </c>
      <c r="Q265" s="120">
        <f t="shared" si="34"/>
        <v>2470.096477717736</v>
      </c>
    </row>
    <row r="266" spans="2:17" x14ac:dyDescent="0.35">
      <c r="B266" s="10">
        <v>252</v>
      </c>
      <c r="C266" s="11">
        <f t="shared" si="28"/>
        <v>1517.9455240683837</v>
      </c>
      <c r="D266" s="11">
        <f t="shared" si="29"/>
        <v>712.71623288709338</v>
      </c>
      <c r="E266" s="11">
        <f t="shared" si="35"/>
        <v>805.22929118129036</v>
      </c>
      <c r="F266" s="11">
        <f t="shared" si="36"/>
        <v>121374.69634660616</v>
      </c>
      <c r="H266" s="129">
        <f>IF(Principal!$D$25="Anual",IF(MOD(B266+1,12)=0,$W$2*((1+$W$3)^M266),0),$W$2*((1+$W$3)^M266)/12)</f>
        <v>403.73697196948461</v>
      </c>
      <c r="I266" s="68">
        <f t="shared" si="30"/>
        <v>2168.8544210378682</v>
      </c>
      <c r="J266" s="43">
        <f>SUM($I$14:I266)</f>
        <v>539307.49712235061</v>
      </c>
      <c r="K266" s="11">
        <f t="shared" si="31"/>
        <v>0</v>
      </c>
      <c r="L266" s="5">
        <f t="shared" si="32"/>
        <v>1921.6824960378681</v>
      </c>
      <c r="M266" s="10">
        <f t="shared" si="33"/>
        <v>21</v>
      </c>
      <c r="N266" s="189">
        <f>SUM(L266:L277)</f>
        <v>23060.189952454424</v>
      </c>
      <c r="O266" s="130">
        <f>IF(Principal!$D$30="Anual",IF(MOD(B266+1,12)=0,VLOOKUP(M266,'Flujos Anuales'!$B$8:$K$39,9),0),VLOOKUP(M266,'Flujos Anuales'!$B$8:$K$39,9)/12)</f>
        <v>532.00419990536034</v>
      </c>
      <c r="P266" s="120">
        <f>VLOOKUP(M266,'Flujos Anuales'!$B$8:$K$39,10)/12</f>
        <v>42.825619927073795</v>
      </c>
      <c r="Q266" s="120">
        <f t="shared" si="34"/>
        <v>2496.5123158703018</v>
      </c>
    </row>
    <row r="267" spans="2:17" x14ac:dyDescent="0.35">
      <c r="B267" s="10">
        <v>253</v>
      </c>
      <c r="C267" s="11">
        <f t="shared" si="28"/>
        <v>1517.9455240683837</v>
      </c>
      <c r="D267" s="11">
        <f t="shared" si="29"/>
        <v>708.01906202186933</v>
      </c>
      <c r="E267" s="11">
        <f t="shared" si="35"/>
        <v>809.92646204651442</v>
      </c>
      <c r="F267" s="11">
        <f t="shared" si="36"/>
        <v>120564.76988455965</v>
      </c>
      <c r="H267" s="129">
        <f>IF(Principal!$D$25="Anual",IF(MOD(B267+1,12)=0,$W$2*((1+$W$3)^M267),0),$W$2*((1+$W$3)^M267)/12)</f>
        <v>403.73697196948461</v>
      </c>
      <c r="I267" s="68">
        <f t="shared" si="30"/>
        <v>2168.8544210378682</v>
      </c>
      <c r="J267" s="43">
        <f>SUM($I$14:I267)</f>
        <v>541476.35154338845</v>
      </c>
      <c r="K267" s="11">
        <f t="shared" si="31"/>
        <v>0</v>
      </c>
      <c r="L267" s="5">
        <f t="shared" si="32"/>
        <v>1921.6824960378681</v>
      </c>
      <c r="M267" s="10">
        <f t="shared" si="33"/>
        <v>21</v>
      </c>
      <c r="N267" s="189"/>
      <c r="O267" s="130">
        <f>IF(Principal!$D$30="Anual",IF(MOD(B267+1,12)=0,VLOOKUP(M267,'Flujos Anuales'!$B$8:$K$39,9),0),VLOOKUP(M267,'Flujos Anuales'!$B$8:$K$39,9)/12)</f>
        <v>532.00419990536034</v>
      </c>
      <c r="P267" s="120">
        <f>VLOOKUP(M267,'Flujos Anuales'!$B$8:$K$39,10)/12</f>
        <v>42.825619927073795</v>
      </c>
      <c r="Q267" s="120">
        <f t="shared" si="34"/>
        <v>2496.5123158703018</v>
      </c>
    </row>
    <row r="268" spans="2:17" x14ac:dyDescent="0.35">
      <c r="B268" s="10">
        <v>254</v>
      </c>
      <c r="C268" s="11">
        <f t="shared" si="28"/>
        <v>1517.9455240683837</v>
      </c>
      <c r="D268" s="11">
        <f t="shared" si="29"/>
        <v>703.29449099326462</v>
      </c>
      <c r="E268" s="11">
        <f t="shared" si="35"/>
        <v>814.65103307511913</v>
      </c>
      <c r="F268" s="11">
        <f t="shared" si="36"/>
        <v>119750.11885148453</v>
      </c>
      <c r="H268" s="129">
        <f>IF(Principal!$D$25="Anual",IF(MOD(B268+1,12)=0,$W$2*((1+$W$3)^M268),0),$W$2*((1+$W$3)^M268)/12)</f>
        <v>403.73697196948461</v>
      </c>
      <c r="I268" s="68">
        <f t="shared" si="30"/>
        <v>2168.8544210378682</v>
      </c>
      <c r="J268" s="43">
        <f>SUM($I$14:I268)</f>
        <v>543645.20596442628</v>
      </c>
      <c r="K268" s="11">
        <f t="shared" si="31"/>
        <v>0</v>
      </c>
      <c r="L268" s="5">
        <f t="shared" si="32"/>
        <v>1921.6824960378681</v>
      </c>
      <c r="M268" s="10">
        <f t="shared" si="33"/>
        <v>21</v>
      </c>
      <c r="N268" s="189"/>
      <c r="O268" s="130">
        <f>IF(Principal!$D$30="Anual",IF(MOD(B268+1,12)=0,VLOOKUP(M268,'Flujos Anuales'!$B$8:$K$39,9),0),VLOOKUP(M268,'Flujos Anuales'!$B$8:$K$39,9)/12)</f>
        <v>532.00419990536034</v>
      </c>
      <c r="P268" s="120">
        <f>VLOOKUP(M268,'Flujos Anuales'!$B$8:$K$39,10)/12</f>
        <v>42.825619927073795</v>
      </c>
      <c r="Q268" s="120">
        <f t="shared" si="34"/>
        <v>2496.5123158703018</v>
      </c>
    </row>
    <row r="269" spans="2:17" x14ac:dyDescent="0.35">
      <c r="B269" s="10">
        <v>255</v>
      </c>
      <c r="C269" s="11">
        <f t="shared" si="28"/>
        <v>1517.9455240683837</v>
      </c>
      <c r="D269" s="11">
        <f t="shared" si="29"/>
        <v>698.5423599669931</v>
      </c>
      <c r="E269" s="11">
        <f t="shared" si="35"/>
        <v>819.40316410139064</v>
      </c>
      <c r="F269" s="11">
        <f t="shared" si="36"/>
        <v>118930.71568738314</v>
      </c>
      <c r="H269" s="129">
        <f>IF(Principal!$D$25="Anual",IF(MOD(B269+1,12)=0,$W$2*((1+$W$3)^M269),0),$W$2*((1+$W$3)^M269)/12)</f>
        <v>403.73697196948461</v>
      </c>
      <c r="I269" s="68">
        <f t="shared" si="30"/>
        <v>2168.8544210378682</v>
      </c>
      <c r="J269" s="43">
        <f>SUM($I$14:I269)</f>
        <v>545814.06038546411</v>
      </c>
      <c r="K269" s="11">
        <f t="shared" si="31"/>
        <v>0</v>
      </c>
      <c r="L269" s="5">
        <f t="shared" si="32"/>
        <v>1921.6824960378681</v>
      </c>
      <c r="M269" s="10">
        <f t="shared" si="33"/>
        <v>21</v>
      </c>
      <c r="N269" s="189"/>
      <c r="O269" s="130">
        <f>IF(Principal!$D$30="Anual",IF(MOD(B269+1,12)=0,VLOOKUP(M269,'Flujos Anuales'!$B$8:$K$39,9),0),VLOOKUP(M269,'Flujos Anuales'!$B$8:$K$39,9)/12)</f>
        <v>532.00419990536034</v>
      </c>
      <c r="P269" s="120">
        <f>VLOOKUP(M269,'Flujos Anuales'!$B$8:$K$39,10)/12</f>
        <v>42.825619927073795</v>
      </c>
      <c r="Q269" s="120">
        <f t="shared" si="34"/>
        <v>2496.5123158703018</v>
      </c>
    </row>
    <row r="270" spans="2:17" x14ac:dyDescent="0.35">
      <c r="B270" s="10">
        <v>256</v>
      </c>
      <c r="C270" s="11">
        <f t="shared" si="28"/>
        <v>1517.9455240683837</v>
      </c>
      <c r="D270" s="11">
        <f t="shared" si="29"/>
        <v>693.76250817640164</v>
      </c>
      <c r="E270" s="11">
        <f t="shared" si="35"/>
        <v>824.18301589198211</v>
      </c>
      <c r="F270" s="11">
        <f t="shared" si="36"/>
        <v>118106.53267149116</v>
      </c>
      <c r="H270" s="129">
        <f>IF(Principal!$D$25="Anual",IF(MOD(B270+1,12)=0,$W$2*((1+$W$3)^M270),0),$W$2*((1+$W$3)^M270)/12)</f>
        <v>403.73697196948461</v>
      </c>
      <c r="I270" s="68">
        <f t="shared" si="30"/>
        <v>2168.8544210378682</v>
      </c>
      <c r="J270" s="43">
        <f>SUM($I$14:I270)</f>
        <v>547982.91480650194</v>
      </c>
      <c r="K270" s="11">
        <f t="shared" si="31"/>
        <v>0</v>
      </c>
      <c r="L270" s="5">
        <f t="shared" si="32"/>
        <v>1921.6824960378681</v>
      </c>
      <c r="M270" s="10">
        <f t="shared" si="33"/>
        <v>21</v>
      </c>
      <c r="N270" s="189"/>
      <c r="O270" s="130">
        <f>IF(Principal!$D$30="Anual",IF(MOD(B270+1,12)=0,VLOOKUP(M270,'Flujos Anuales'!$B$8:$K$39,9),0),VLOOKUP(M270,'Flujos Anuales'!$B$8:$K$39,9)/12)</f>
        <v>532.00419990536034</v>
      </c>
      <c r="P270" s="120">
        <f>VLOOKUP(M270,'Flujos Anuales'!$B$8:$K$39,10)/12</f>
        <v>42.825619927073795</v>
      </c>
      <c r="Q270" s="120">
        <f t="shared" si="34"/>
        <v>2496.5123158703018</v>
      </c>
    </row>
    <row r="271" spans="2:17" x14ac:dyDescent="0.35">
      <c r="B271" s="10">
        <v>257</v>
      </c>
      <c r="C271" s="11">
        <f t="shared" ref="C271:C334" si="37">$T$9</f>
        <v>1517.9455240683837</v>
      </c>
      <c r="D271" s="11">
        <f t="shared" ref="D271:D334" si="38">F270*$T$4</f>
        <v>688.95477391703184</v>
      </c>
      <c r="E271" s="11">
        <f t="shared" si="35"/>
        <v>828.9907501513519</v>
      </c>
      <c r="F271" s="11">
        <f t="shared" si="36"/>
        <v>117277.54192133981</v>
      </c>
      <c r="H271" s="129">
        <f>IF(Principal!$D$25="Anual",IF(MOD(B271+1,12)=0,$W$2*((1+$W$3)^M271),0),$W$2*((1+$W$3)^M271)/12)</f>
        <v>403.73697196948461</v>
      </c>
      <c r="I271" s="68">
        <f t="shared" ref="I271:I334" si="39">C271+H271+$W$5</f>
        <v>2168.8544210378682</v>
      </c>
      <c r="J271" s="43">
        <f>SUM($I$14:I271)</f>
        <v>550151.76922753977</v>
      </c>
      <c r="K271" s="11">
        <f t="shared" ref="K271:K334" si="40">IF(J271&gt;=$W$6,0,$W$5)</f>
        <v>0</v>
      </c>
      <c r="L271" s="5">
        <f t="shared" ref="L271:L334" si="41">IF(K271=$W$5,I271,I271-$W$5)</f>
        <v>1921.6824960378681</v>
      </c>
      <c r="M271" s="10">
        <f t="shared" ref="M271:M334" si="42">ROUNDDOWN(B271/12,0)</f>
        <v>21</v>
      </c>
      <c r="N271" s="189"/>
      <c r="O271" s="130">
        <f>IF(Principal!$D$30="Anual",IF(MOD(B271+1,12)=0,VLOOKUP(M271,'Flujos Anuales'!$B$8:$K$39,9),0),VLOOKUP(M271,'Flujos Anuales'!$B$8:$K$39,9)/12)</f>
        <v>532.00419990536034</v>
      </c>
      <c r="P271" s="120">
        <f>VLOOKUP(M271,'Flujos Anuales'!$B$8:$K$39,10)/12</f>
        <v>42.825619927073795</v>
      </c>
      <c r="Q271" s="120">
        <f t="shared" ref="Q271:Q334" si="43">L271+O271+P271</f>
        <v>2496.5123158703018</v>
      </c>
    </row>
    <row r="272" spans="2:17" x14ac:dyDescent="0.35">
      <c r="B272" s="10">
        <v>258</v>
      </c>
      <c r="C272" s="11">
        <f t="shared" si="37"/>
        <v>1517.9455240683837</v>
      </c>
      <c r="D272" s="11">
        <f t="shared" si="38"/>
        <v>684.11899454114894</v>
      </c>
      <c r="E272" s="11">
        <f t="shared" ref="E272:E335" si="44">C272-D272</f>
        <v>833.82652952723481</v>
      </c>
      <c r="F272" s="11">
        <f t="shared" ref="F272:F335" si="45">F271-E272</f>
        <v>116443.71539181258</v>
      </c>
      <c r="H272" s="129">
        <f>IF(Principal!$D$25="Anual",IF(MOD(B272+1,12)=0,$W$2*((1+$W$3)^M272),0),$W$2*((1+$W$3)^M272)/12)</f>
        <v>403.73697196948461</v>
      </c>
      <c r="I272" s="68">
        <f t="shared" si="39"/>
        <v>2168.8544210378682</v>
      </c>
      <c r="J272" s="43">
        <f>SUM($I$14:I272)</f>
        <v>552320.6236485776</v>
      </c>
      <c r="K272" s="11">
        <f t="shared" si="40"/>
        <v>0</v>
      </c>
      <c r="L272" s="5">
        <f t="shared" si="41"/>
        <v>1921.6824960378681</v>
      </c>
      <c r="M272" s="10">
        <f t="shared" si="42"/>
        <v>21</v>
      </c>
      <c r="N272" s="189"/>
      <c r="O272" s="130">
        <f>IF(Principal!$D$30="Anual",IF(MOD(B272+1,12)=0,VLOOKUP(M272,'Flujos Anuales'!$B$8:$K$39,9),0),VLOOKUP(M272,'Flujos Anuales'!$B$8:$K$39,9)/12)</f>
        <v>532.00419990536034</v>
      </c>
      <c r="P272" s="120">
        <f>VLOOKUP(M272,'Flujos Anuales'!$B$8:$K$39,10)/12</f>
        <v>42.825619927073795</v>
      </c>
      <c r="Q272" s="120">
        <f t="shared" si="43"/>
        <v>2496.5123158703018</v>
      </c>
    </row>
    <row r="273" spans="2:17" x14ac:dyDescent="0.35">
      <c r="B273" s="10">
        <v>259</v>
      </c>
      <c r="C273" s="11">
        <f t="shared" si="37"/>
        <v>1517.9455240683837</v>
      </c>
      <c r="D273" s="11">
        <f t="shared" si="38"/>
        <v>679.25500645224008</v>
      </c>
      <c r="E273" s="11">
        <f t="shared" si="44"/>
        <v>838.69051761614367</v>
      </c>
      <c r="F273" s="11">
        <f t="shared" si="45"/>
        <v>115605.02487419645</v>
      </c>
      <c r="H273" s="129">
        <f>IF(Principal!$D$25="Anual",IF(MOD(B273+1,12)=0,$W$2*((1+$W$3)^M273),0),$W$2*((1+$W$3)^M273)/12)</f>
        <v>403.73697196948461</v>
      </c>
      <c r="I273" s="68">
        <f t="shared" si="39"/>
        <v>2168.8544210378682</v>
      </c>
      <c r="J273" s="43">
        <f>SUM($I$14:I273)</f>
        <v>554489.47806961543</v>
      </c>
      <c r="K273" s="11">
        <f t="shared" si="40"/>
        <v>0</v>
      </c>
      <c r="L273" s="5">
        <f t="shared" si="41"/>
        <v>1921.6824960378681</v>
      </c>
      <c r="M273" s="10">
        <f t="shared" si="42"/>
        <v>21</v>
      </c>
      <c r="N273" s="189"/>
      <c r="O273" s="130">
        <f>IF(Principal!$D$30="Anual",IF(MOD(B273+1,12)=0,VLOOKUP(M273,'Flujos Anuales'!$B$8:$K$39,9),0),VLOOKUP(M273,'Flujos Anuales'!$B$8:$K$39,9)/12)</f>
        <v>532.00419990536034</v>
      </c>
      <c r="P273" s="120">
        <f>VLOOKUP(M273,'Flujos Anuales'!$B$8:$K$39,10)/12</f>
        <v>42.825619927073795</v>
      </c>
      <c r="Q273" s="120">
        <f t="shared" si="43"/>
        <v>2496.5123158703018</v>
      </c>
    </row>
    <row r="274" spans="2:17" x14ac:dyDescent="0.35">
      <c r="B274" s="10">
        <v>260</v>
      </c>
      <c r="C274" s="11">
        <f t="shared" si="37"/>
        <v>1517.9455240683837</v>
      </c>
      <c r="D274" s="11">
        <f t="shared" si="38"/>
        <v>674.36264509947932</v>
      </c>
      <c r="E274" s="11">
        <f t="shared" si="44"/>
        <v>843.58287896890442</v>
      </c>
      <c r="F274" s="11">
        <f t="shared" si="45"/>
        <v>114761.44199522753</v>
      </c>
      <c r="H274" s="129">
        <f>IF(Principal!$D$25="Anual",IF(MOD(B274+1,12)=0,$W$2*((1+$W$3)^M274),0),$W$2*((1+$W$3)^M274)/12)</f>
        <v>403.73697196948461</v>
      </c>
      <c r="I274" s="68">
        <f t="shared" si="39"/>
        <v>2168.8544210378682</v>
      </c>
      <c r="J274" s="43">
        <f>SUM($I$14:I274)</f>
        <v>556658.33249065327</v>
      </c>
      <c r="K274" s="11">
        <f t="shared" si="40"/>
        <v>0</v>
      </c>
      <c r="L274" s="5">
        <f t="shared" si="41"/>
        <v>1921.6824960378681</v>
      </c>
      <c r="M274" s="10">
        <f t="shared" si="42"/>
        <v>21</v>
      </c>
      <c r="N274" s="189"/>
      <c r="O274" s="130">
        <f>IF(Principal!$D$30="Anual",IF(MOD(B274+1,12)=0,VLOOKUP(M274,'Flujos Anuales'!$B$8:$K$39,9),0),VLOOKUP(M274,'Flujos Anuales'!$B$8:$K$39,9)/12)</f>
        <v>532.00419990536034</v>
      </c>
      <c r="P274" s="120">
        <f>VLOOKUP(M274,'Flujos Anuales'!$B$8:$K$39,10)/12</f>
        <v>42.825619927073795</v>
      </c>
      <c r="Q274" s="120">
        <f t="shared" si="43"/>
        <v>2496.5123158703018</v>
      </c>
    </row>
    <row r="275" spans="2:17" x14ac:dyDescent="0.35">
      <c r="B275" s="10">
        <v>261</v>
      </c>
      <c r="C275" s="11">
        <f t="shared" si="37"/>
        <v>1517.9455240683837</v>
      </c>
      <c r="D275" s="11">
        <f t="shared" si="38"/>
        <v>669.44174497216068</v>
      </c>
      <c r="E275" s="11">
        <f t="shared" si="44"/>
        <v>848.50377909622307</v>
      </c>
      <c r="F275" s="11">
        <f t="shared" si="45"/>
        <v>113912.93821613131</v>
      </c>
      <c r="H275" s="129">
        <f>IF(Principal!$D$25="Anual",IF(MOD(B275+1,12)=0,$W$2*((1+$W$3)^M275),0),$W$2*((1+$W$3)^M275)/12)</f>
        <v>403.73697196948461</v>
      </c>
      <c r="I275" s="68">
        <f t="shared" si="39"/>
        <v>2168.8544210378682</v>
      </c>
      <c r="J275" s="43">
        <f>SUM($I$14:I275)</f>
        <v>558827.1869116911</v>
      </c>
      <c r="K275" s="11">
        <f t="shared" si="40"/>
        <v>0</v>
      </c>
      <c r="L275" s="5">
        <f t="shared" si="41"/>
        <v>1921.6824960378681</v>
      </c>
      <c r="M275" s="10">
        <f t="shared" si="42"/>
        <v>21</v>
      </c>
      <c r="N275" s="189"/>
      <c r="O275" s="130">
        <f>IF(Principal!$D$30="Anual",IF(MOD(B275+1,12)=0,VLOOKUP(M275,'Flujos Anuales'!$B$8:$K$39,9),0),VLOOKUP(M275,'Flujos Anuales'!$B$8:$K$39,9)/12)</f>
        <v>532.00419990536034</v>
      </c>
      <c r="P275" s="120">
        <f>VLOOKUP(M275,'Flujos Anuales'!$B$8:$K$39,10)/12</f>
        <v>42.825619927073795</v>
      </c>
      <c r="Q275" s="120">
        <f t="shared" si="43"/>
        <v>2496.5123158703018</v>
      </c>
    </row>
    <row r="276" spans="2:17" x14ac:dyDescent="0.35">
      <c r="B276" s="10">
        <v>262</v>
      </c>
      <c r="C276" s="11">
        <f t="shared" si="37"/>
        <v>1517.9455240683837</v>
      </c>
      <c r="D276" s="11">
        <f t="shared" si="38"/>
        <v>664.4921395940994</v>
      </c>
      <c r="E276" s="11">
        <f t="shared" si="44"/>
        <v>853.45338447428435</v>
      </c>
      <c r="F276" s="11">
        <f t="shared" si="45"/>
        <v>113059.48483165703</v>
      </c>
      <c r="H276" s="129">
        <f>IF(Principal!$D$25="Anual",IF(MOD(B276+1,12)=0,$W$2*((1+$W$3)^M276),0),$W$2*((1+$W$3)^M276)/12)</f>
        <v>403.73697196948461</v>
      </c>
      <c r="I276" s="68">
        <f t="shared" si="39"/>
        <v>2168.8544210378682</v>
      </c>
      <c r="J276" s="43">
        <f>SUM($I$14:I276)</f>
        <v>560996.04133272893</v>
      </c>
      <c r="K276" s="11">
        <f t="shared" si="40"/>
        <v>0</v>
      </c>
      <c r="L276" s="5">
        <f t="shared" si="41"/>
        <v>1921.6824960378681</v>
      </c>
      <c r="M276" s="10">
        <f t="shared" si="42"/>
        <v>21</v>
      </c>
      <c r="N276" s="189"/>
      <c r="O276" s="130">
        <f>IF(Principal!$D$30="Anual",IF(MOD(B276+1,12)=0,VLOOKUP(M276,'Flujos Anuales'!$B$8:$K$39,9),0),VLOOKUP(M276,'Flujos Anuales'!$B$8:$K$39,9)/12)</f>
        <v>532.00419990536034</v>
      </c>
      <c r="P276" s="120">
        <f>VLOOKUP(M276,'Flujos Anuales'!$B$8:$K$39,10)/12</f>
        <v>42.825619927073795</v>
      </c>
      <c r="Q276" s="120">
        <f t="shared" si="43"/>
        <v>2496.5123158703018</v>
      </c>
    </row>
    <row r="277" spans="2:17" x14ac:dyDescent="0.35">
      <c r="B277" s="10">
        <v>263</v>
      </c>
      <c r="C277" s="11">
        <f t="shared" si="37"/>
        <v>1517.9455240683837</v>
      </c>
      <c r="D277" s="11">
        <f t="shared" si="38"/>
        <v>659.51366151799937</v>
      </c>
      <c r="E277" s="11">
        <f t="shared" si="44"/>
        <v>858.43186255038438</v>
      </c>
      <c r="F277" s="11">
        <f t="shared" si="45"/>
        <v>112201.05296910665</v>
      </c>
      <c r="H277" s="129">
        <f>IF(Principal!$D$25="Anual",IF(MOD(B277+1,12)=0,$W$2*((1+$W$3)^M277),0),$W$2*((1+$W$3)^M277)/12)</f>
        <v>403.73697196948461</v>
      </c>
      <c r="I277" s="68">
        <f t="shared" si="39"/>
        <v>2168.8544210378682</v>
      </c>
      <c r="J277" s="43">
        <f>SUM($I$14:I277)</f>
        <v>563164.89575376676</v>
      </c>
      <c r="K277" s="11">
        <f t="shared" si="40"/>
        <v>0</v>
      </c>
      <c r="L277" s="5">
        <f t="shared" si="41"/>
        <v>1921.6824960378681</v>
      </c>
      <c r="M277" s="10">
        <f t="shared" si="42"/>
        <v>21</v>
      </c>
      <c r="N277" s="189"/>
      <c r="O277" s="130">
        <f>IF(Principal!$D$30="Anual",IF(MOD(B277+1,12)=0,VLOOKUP(M277,'Flujos Anuales'!$B$8:$K$39,9),0),VLOOKUP(M277,'Flujos Anuales'!$B$8:$K$39,9)/12)</f>
        <v>532.00419990536034</v>
      </c>
      <c r="P277" s="120">
        <f>VLOOKUP(M277,'Flujos Anuales'!$B$8:$K$39,10)/12</f>
        <v>42.825619927073795</v>
      </c>
      <c r="Q277" s="120">
        <f t="shared" si="43"/>
        <v>2496.5123158703018</v>
      </c>
    </row>
    <row r="278" spans="2:17" x14ac:dyDescent="0.35">
      <c r="B278" s="10">
        <v>264</v>
      </c>
      <c r="C278" s="11">
        <f t="shared" si="37"/>
        <v>1517.9455240683837</v>
      </c>
      <c r="D278" s="11">
        <f t="shared" si="38"/>
        <v>654.50614231978886</v>
      </c>
      <c r="E278" s="11">
        <f t="shared" si="44"/>
        <v>863.43938174859488</v>
      </c>
      <c r="F278" s="11">
        <f t="shared" si="45"/>
        <v>111337.61358735805</v>
      </c>
      <c r="H278" s="129">
        <f>IF(Principal!$D$25="Anual",IF(MOD(B278+1,12)=0,$W$2*((1+$W$3)^M278),0),$W$2*((1+$W$3)^M278)/12)</f>
        <v>406.5098735347824</v>
      </c>
      <c r="I278" s="68">
        <f t="shared" si="39"/>
        <v>2171.6273226031662</v>
      </c>
      <c r="J278" s="43">
        <f>SUM($I$14:I278)</f>
        <v>565336.52307636989</v>
      </c>
      <c r="K278" s="11">
        <f t="shared" si="40"/>
        <v>0</v>
      </c>
      <c r="L278" s="5">
        <f t="shared" si="41"/>
        <v>1924.4553976031661</v>
      </c>
      <c r="M278" s="10">
        <f t="shared" si="42"/>
        <v>22</v>
      </c>
      <c r="N278" s="189">
        <f>SUM(L278:L289)</f>
        <v>23093.464771237996</v>
      </c>
      <c r="O278" s="130">
        <f>IF(Principal!$D$30="Anual",IF(MOD(B278+1,12)=0,VLOOKUP(M278,'Flujos Anuales'!$B$8:$K$39,9),0),VLOOKUP(M278,'Flujos Anuales'!$B$8:$K$39,9)/12)</f>
        <v>556.30342007335764</v>
      </c>
      <c r="P278" s="120">
        <f>VLOOKUP(M278,'Flujos Anuales'!$B$8:$K$39,10)/12</f>
        <v>43.253876126344529</v>
      </c>
      <c r="Q278" s="120">
        <f t="shared" si="43"/>
        <v>2524.0126938028684</v>
      </c>
    </row>
    <row r="279" spans="2:17" x14ac:dyDescent="0.35">
      <c r="B279" s="10">
        <v>265</v>
      </c>
      <c r="C279" s="11">
        <f t="shared" si="37"/>
        <v>1517.9455240683837</v>
      </c>
      <c r="D279" s="11">
        <f t="shared" si="38"/>
        <v>649.46941259292203</v>
      </c>
      <c r="E279" s="11">
        <f t="shared" si="44"/>
        <v>868.47611147546172</v>
      </c>
      <c r="F279" s="11">
        <f t="shared" si="45"/>
        <v>110469.13747588258</v>
      </c>
      <c r="H279" s="129">
        <f>IF(Principal!$D$25="Anual",IF(MOD(B279+1,12)=0,$W$2*((1+$W$3)^M279),0),$W$2*((1+$W$3)^M279)/12)</f>
        <v>406.5098735347824</v>
      </c>
      <c r="I279" s="68">
        <f t="shared" si="39"/>
        <v>2171.6273226031662</v>
      </c>
      <c r="J279" s="43">
        <f>SUM($I$14:I279)</f>
        <v>567508.15039897303</v>
      </c>
      <c r="K279" s="11">
        <f t="shared" si="40"/>
        <v>0</v>
      </c>
      <c r="L279" s="5">
        <f t="shared" si="41"/>
        <v>1924.4553976031661</v>
      </c>
      <c r="M279" s="10">
        <f t="shared" si="42"/>
        <v>22</v>
      </c>
      <c r="N279" s="189"/>
      <c r="O279" s="130">
        <f>IF(Principal!$D$30="Anual",IF(MOD(B279+1,12)=0,VLOOKUP(M279,'Flujos Anuales'!$B$8:$K$39,9),0),VLOOKUP(M279,'Flujos Anuales'!$B$8:$K$39,9)/12)</f>
        <v>556.30342007335764</v>
      </c>
      <c r="P279" s="120">
        <f>VLOOKUP(M279,'Flujos Anuales'!$B$8:$K$39,10)/12</f>
        <v>43.253876126344529</v>
      </c>
      <c r="Q279" s="120">
        <f t="shared" si="43"/>
        <v>2524.0126938028684</v>
      </c>
    </row>
    <row r="280" spans="2:17" x14ac:dyDescent="0.35">
      <c r="B280" s="10">
        <v>266</v>
      </c>
      <c r="C280" s="11">
        <f t="shared" si="37"/>
        <v>1517.9455240683837</v>
      </c>
      <c r="D280" s="11">
        <f t="shared" si="38"/>
        <v>644.40330194264845</v>
      </c>
      <c r="E280" s="11">
        <f t="shared" si="44"/>
        <v>873.54222212573529</v>
      </c>
      <c r="F280" s="11">
        <f t="shared" si="45"/>
        <v>109595.59525375685</v>
      </c>
      <c r="H280" s="129">
        <f>IF(Principal!$D$25="Anual",IF(MOD(B280+1,12)=0,$W$2*((1+$W$3)^M280),0),$W$2*((1+$W$3)^M280)/12)</f>
        <v>406.5098735347824</v>
      </c>
      <c r="I280" s="68">
        <f t="shared" si="39"/>
        <v>2171.6273226031662</v>
      </c>
      <c r="J280" s="43">
        <f>SUM($I$14:I280)</f>
        <v>569679.77772157616</v>
      </c>
      <c r="K280" s="11">
        <f t="shared" si="40"/>
        <v>0</v>
      </c>
      <c r="L280" s="5">
        <f t="shared" si="41"/>
        <v>1924.4553976031661</v>
      </c>
      <c r="M280" s="10">
        <f t="shared" si="42"/>
        <v>22</v>
      </c>
      <c r="N280" s="189"/>
      <c r="O280" s="130">
        <f>IF(Principal!$D$30="Anual",IF(MOD(B280+1,12)=0,VLOOKUP(M280,'Flujos Anuales'!$B$8:$K$39,9),0),VLOOKUP(M280,'Flujos Anuales'!$B$8:$K$39,9)/12)</f>
        <v>556.30342007335764</v>
      </c>
      <c r="P280" s="120">
        <f>VLOOKUP(M280,'Flujos Anuales'!$B$8:$K$39,10)/12</f>
        <v>43.253876126344529</v>
      </c>
      <c r="Q280" s="120">
        <f t="shared" si="43"/>
        <v>2524.0126938028684</v>
      </c>
    </row>
    <row r="281" spans="2:17" x14ac:dyDescent="0.35">
      <c r="B281" s="10">
        <v>267</v>
      </c>
      <c r="C281" s="11">
        <f t="shared" si="37"/>
        <v>1517.9455240683837</v>
      </c>
      <c r="D281" s="11">
        <f t="shared" si="38"/>
        <v>639.30763898024838</v>
      </c>
      <c r="E281" s="11">
        <f t="shared" si="44"/>
        <v>878.63788508813536</v>
      </c>
      <c r="F281" s="11">
        <f t="shared" si="45"/>
        <v>108716.95736866872</v>
      </c>
      <c r="H281" s="129">
        <f>IF(Principal!$D$25="Anual",IF(MOD(B281+1,12)=0,$W$2*((1+$W$3)^M281),0),$W$2*((1+$W$3)^M281)/12)</f>
        <v>406.5098735347824</v>
      </c>
      <c r="I281" s="68">
        <f t="shared" si="39"/>
        <v>2171.6273226031662</v>
      </c>
      <c r="J281" s="43">
        <f>SUM($I$14:I281)</f>
        <v>571851.40504417929</v>
      </c>
      <c r="K281" s="11">
        <f t="shared" si="40"/>
        <v>0</v>
      </c>
      <c r="L281" s="5">
        <f t="shared" si="41"/>
        <v>1924.4553976031661</v>
      </c>
      <c r="M281" s="10">
        <f t="shared" si="42"/>
        <v>22</v>
      </c>
      <c r="N281" s="189"/>
      <c r="O281" s="130">
        <f>IF(Principal!$D$30="Anual",IF(MOD(B281+1,12)=0,VLOOKUP(M281,'Flujos Anuales'!$B$8:$K$39,9),0),VLOOKUP(M281,'Flujos Anuales'!$B$8:$K$39,9)/12)</f>
        <v>556.30342007335764</v>
      </c>
      <c r="P281" s="120">
        <f>VLOOKUP(M281,'Flujos Anuales'!$B$8:$K$39,10)/12</f>
        <v>43.253876126344529</v>
      </c>
      <c r="Q281" s="120">
        <f t="shared" si="43"/>
        <v>2524.0126938028684</v>
      </c>
    </row>
    <row r="282" spans="2:17" x14ac:dyDescent="0.35">
      <c r="B282" s="10">
        <v>268</v>
      </c>
      <c r="C282" s="11">
        <f t="shared" si="37"/>
        <v>1517.9455240683837</v>
      </c>
      <c r="D282" s="11">
        <f t="shared" si="38"/>
        <v>634.1822513172342</v>
      </c>
      <c r="E282" s="11">
        <f t="shared" si="44"/>
        <v>883.76327275114954</v>
      </c>
      <c r="F282" s="11">
        <f t="shared" si="45"/>
        <v>107833.19409591757</v>
      </c>
      <c r="H282" s="129">
        <f>IF(Principal!$D$25="Anual",IF(MOD(B282+1,12)=0,$W$2*((1+$W$3)^M282),0),$W$2*((1+$W$3)^M282)/12)</f>
        <v>406.5098735347824</v>
      </c>
      <c r="I282" s="68">
        <f t="shared" si="39"/>
        <v>2171.6273226031662</v>
      </c>
      <c r="J282" s="43">
        <f>SUM($I$14:I282)</f>
        <v>574023.03236678243</v>
      </c>
      <c r="K282" s="11">
        <f t="shared" si="40"/>
        <v>0</v>
      </c>
      <c r="L282" s="5">
        <f t="shared" si="41"/>
        <v>1924.4553976031661</v>
      </c>
      <c r="M282" s="10">
        <f t="shared" si="42"/>
        <v>22</v>
      </c>
      <c r="N282" s="189"/>
      <c r="O282" s="130">
        <f>IF(Principal!$D$30="Anual",IF(MOD(B282+1,12)=0,VLOOKUP(M282,'Flujos Anuales'!$B$8:$K$39,9),0),VLOOKUP(M282,'Flujos Anuales'!$B$8:$K$39,9)/12)</f>
        <v>556.30342007335764</v>
      </c>
      <c r="P282" s="120">
        <f>VLOOKUP(M282,'Flujos Anuales'!$B$8:$K$39,10)/12</f>
        <v>43.253876126344529</v>
      </c>
      <c r="Q282" s="120">
        <f t="shared" si="43"/>
        <v>2524.0126938028684</v>
      </c>
    </row>
    <row r="283" spans="2:17" x14ac:dyDescent="0.35">
      <c r="B283" s="10">
        <v>269</v>
      </c>
      <c r="C283" s="11">
        <f t="shared" si="37"/>
        <v>1517.9455240683837</v>
      </c>
      <c r="D283" s="11">
        <f t="shared" si="38"/>
        <v>629.02696555951923</v>
      </c>
      <c r="E283" s="11">
        <f t="shared" si="44"/>
        <v>888.91855850886452</v>
      </c>
      <c r="F283" s="11">
        <f t="shared" si="45"/>
        <v>106944.2755374087</v>
      </c>
      <c r="H283" s="129">
        <f>IF(Principal!$D$25="Anual",IF(MOD(B283+1,12)=0,$W$2*((1+$W$3)^M283),0),$W$2*((1+$W$3)^M283)/12)</f>
        <v>406.5098735347824</v>
      </c>
      <c r="I283" s="68">
        <f t="shared" si="39"/>
        <v>2171.6273226031662</v>
      </c>
      <c r="J283" s="43">
        <f>SUM($I$14:I283)</f>
        <v>576194.65968938556</v>
      </c>
      <c r="K283" s="11">
        <f t="shared" si="40"/>
        <v>0</v>
      </c>
      <c r="L283" s="5">
        <f t="shared" si="41"/>
        <v>1924.4553976031661</v>
      </c>
      <c r="M283" s="10">
        <f t="shared" si="42"/>
        <v>22</v>
      </c>
      <c r="N283" s="189"/>
      <c r="O283" s="130">
        <f>IF(Principal!$D$30="Anual",IF(MOD(B283+1,12)=0,VLOOKUP(M283,'Flujos Anuales'!$B$8:$K$39,9),0),VLOOKUP(M283,'Flujos Anuales'!$B$8:$K$39,9)/12)</f>
        <v>556.30342007335764</v>
      </c>
      <c r="P283" s="120">
        <f>VLOOKUP(M283,'Flujos Anuales'!$B$8:$K$39,10)/12</f>
        <v>43.253876126344529</v>
      </c>
      <c r="Q283" s="120">
        <f t="shared" si="43"/>
        <v>2524.0126938028684</v>
      </c>
    </row>
    <row r="284" spans="2:17" x14ac:dyDescent="0.35">
      <c r="B284" s="10">
        <v>270</v>
      </c>
      <c r="C284" s="11">
        <f t="shared" si="37"/>
        <v>1517.9455240683837</v>
      </c>
      <c r="D284" s="11">
        <f t="shared" si="38"/>
        <v>623.84160730155077</v>
      </c>
      <c r="E284" s="11">
        <f t="shared" si="44"/>
        <v>894.10391676683298</v>
      </c>
      <c r="F284" s="11">
        <f t="shared" si="45"/>
        <v>106050.17162064186</v>
      </c>
      <c r="H284" s="129">
        <f>IF(Principal!$D$25="Anual",IF(MOD(B284+1,12)=0,$W$2*((1+$W$3)^M284),0),$W$2*((1+$W$3)^M284)/12)</f>
        <v>406.5098735347824</v>
      </c>
      <c r="I284" s="68">
        <f t="shared" si="39"/>
        <v>2171.6273226031662</v>
      </c>
      <c r="J284" s="43">
        <f>SUM($I$14:I284)</f>
        <v>578366.28701198869</v>
      </c>
      <c r="K284" s="11">
        <f t="shared" si="40"/>
        <v>0</v>
      </c>
      <c r="L284" s="5">
        <f t="shared" si="41"/>
        <v>1924.4553976031661</v>
      </c>
      <c r="M284" s="10">
        <f t="shared" si="42"/>
        <v>22</v>
      </c>
      <c r="N284" s="189"/>
      <c r="O284" s="130">
        <f>IF(Principal!$D$30="Anual",IF(MOD(B284+1,12)=0,VLOOKUP(M284,'Flujos Anuales'!$B$8:$K$39,9),0),VLOOKUP(M284,'Flujos Anuales'!$B$8:$K$39,9)/12)</f>
        <v>556.30342007335764</v>
      </c>
      <c r="P284" s="120">
        <f>VLOOKUP(M284,'Flujos Anuales'!$B$8:$K$39,10)/12</f>
        <v>43.253876126344529</v>
      </c>
      <c r="Q284" s="120">
        <f t="shared" si="43"/>
        <v>2524.0126938028684</v>
      </c>
    </row>
    <row r="285" spans="2:17" x14ac:dyDescent="0.35">
      <c r="B285" s="10">
        <v>271</v>
      </c>
      <c r="C285" s="11">
        <f t="shared" si="37"/>
        <v>1517.9455240683837</v>
      </c>
      <c r="D285" s="11">
        <f t="shared" si="38"/>
        <v>618.62600112041093</v>
      </c>
      <c r="E285" s="11">
        <f t="shared" si="44"/>
        <v>899.31952294797281</v>
      </c>
      <c r="F285" s="11">
        <f t="shared" si="45"/>
        <v>105150.85209769389</v>
      </c>
      <c r="H285" s="129">
        <f>IF(Principal!$D$25="Anual",IF(MOD(B285+1,12)=0,$W$2*((1+$W$3)^M285),0),$W$2*((1+$W$3)^M285)/12)</f>
        <v>406.5098735347824</v>
      </c>
      <c r="I285" s="68">
        <f t="shared" si="39"/>
        <v>2171.6273226031662</v>
      </c>
      <c r="J285" s="43">
        <f>SUM($I$14:I285)</f>
        <v>580537.91433459183</v>
      </c>
      <c r="K285" s="11">
        <f t="shared" si="40"/>
        <v>0</v>
      </c>
      <c r="L285" s="5">
        <f t="shared" si="41"/>
        <v>1924.4553976031661</v>
      </c>
      <c r="M285" s="10">
        <f t="shared" si="42"/>
        <v>22</v>
      </c>
      <c r="N285" s="189"/>
      <c r="O285" s="130">
        <f>IF(Principal!$D$30="Anual",IF(MOD(B285+1,12)=0,VLOOKUP(M285,'Flujos Anuales'!$B$8:$K$39,9),0),VLOOKUP(M285,'Flujos Anuales'!$B$8:$K$39,9)/12)</f>
        <v>556.30342007335764</v>
      </c>
      <c r="P285" s="120">
        <f>VLOOKUP(M285,'Flujos Anuales'!$B$8:$K$39,10)/12</f>
        <v>43.253876126344529</v>
      </c>
      <c r="Q285" s="120">
        <f t="shared" si="43"/>
        <v>2524.0126938028684</v>
      </c>
    </row>
    <row r="286" spans="2:17" x14ac:dyDescent="0.35">
      <c r="B286" s="10">
        <v>272</v>
      </c>
      <c r="C286" s="11">
        <f t="shared" si="37"/>
        <v>1517.9455240683837</v>
      </c>
      <c r="D286" s="11">
        <f t="shared" si="38"/>
        <v>613.37997056988104</v>
      </c>
      <c r="E286" s="11">
        <f t="shared" si="44"/>
        <v>904.56555349850271</v>
      </c>
      <c r="F286" s="11">
        <f t="shared" si="45"/>
        <v>104246.28654419539</v>
      </c>
      <c r="H286" s="129">
        <f>IF(Principal!$D$25="Anual",IF(MOD(B286+1,12)=0,$W$2*((1+$W$3)^M286),0),$W$2*((1+$W$3)^M286)/12)</f>
        <v>406.5098735347824</v>
      </c>
      <c r="I286" s="68">
        <f t="shared" si="39"/>
        <v>2171.6273226031662</v>
      </c>
      <c r="J286" s="43">
        <f>SUM($I$14:I286)</f>
        <v>582709.54165719496</v>
      </c>
      <c r="K286" s="11">
        <f t="shared" si="40"/>
        <v>0</v>
      </c>
      <c r="L286" s="5">
        <f t="shared" si="41"/>
        <v>1924.4553976031661</v>
      </c>
      <c r="M286" s="10">
        <f t="shared" si="42"/>
        <v>22</v>
      </c>
      <c r="N286" s="189"/>
      <c r="O286" s="130">
        <f>IF(Principal!$D$30="Anual",IF(MOD(B286+1,12)=0,VLOOKUP(M286,'Flujos Anuales'!$B$8:$K$39,9),0),VLOOKUP(M286,'Flujos Anuales'!$B$8:$K$39,9)/12)</f>
        <v>556.30342007335764</v>
      </c>
      <c r="P286" s="120">
        <f>VLOOKUP(M286,'Flujos Anuales'!$B$8:$K$39,10)/12</f>
        <v>43.253876126344529</v>
      </c>
      <c r="Q286" s="120">
        <f t="shared" si="43"/>
        <v>2524.0126938028684</v>
      </c>
    </row>
    <row r="287" spans="2:17" x14ac:dyDescent="0.35">
      <c r="B287" s="10">
        <v>273</v>
      </c>
      <c r="C287" s="11">
        <f t="shared" si="37"/>
        <v>1517.9455240683837</v>
      </c>
      <c r="D287" s="11">
        <f t="shared" si="38"/>
        <v>608.10333817447315</v>
      </c>
      <c r="E287" s="11">
        <f t="shared" si="44"/>
        <v>909.8421858939106</v>
      </c>
      <c r="F287" s="11">
        <f t="shared" si="45"/>
        <v>103336.44435830148</v>
      </c>
      <c r="H287" s="129">
        <f>IF(Principal!$D$25="Anual",IF(MOD(B287+1,12)=0,$W$2*((1+$W$3)^M287),0),$W$2*((1+$W$3)^M287)/12)</f>
        <v>406.5098735347824</v>
      </c>
      <c r="I287" s="68">
        <f t="shared" si="39"/>
        <v>2171.6273226031662</v>
      </c>
      <c r="J287" s="43">
        <f>SUM($I$14:I287)</f>
        <v>584881.16897979809</v>
      </c>
      <c r="K287" s="11">
        <f t="shared" si="40"/>
        <v>0</v>
      </c>
      <c r="L287" s="5">
        <f t="shared" si="41"/>
        <v>1924.4553976031661</v>
      </c>
      <c r="M287" s="10">
        <f t="shared" si="42"/>
        <v>22</v>
      </c>
      <c r="N287" s="189"/>
      <c r="O287" s="130">
        <f>IF(Principal!$D$30="Anual",IF(MOD(B287+1,12)=0,VLOOKUP(M287,'Flujos Anuales'!$B$8:$K$39,9),0),VLOOKUP(M287,'Flujos Anuales'!$B$8:$K$39,9)/12)</f>
        <v>556.30342007335764</v>
      </c>
      <c r="P287" s="120">
        <f>VLOOKUP(M287,'Flujos Anuales'!$B$8:$K$39,10)/12</f>
        <v>43.253876126344529</v>
      </c>
      <c r="Q287" s="120">
        <f t="shared" si="43"/>
        <v>2524.0126938028684</v>
      </c>
    </row>
    <row r="288" spans="2:17" x14ac:dyDescent="0.35">
      <c r="B288" s="10">
        <v>274</v>
      </c>
      <c r="C288" s="11">
        <f t="shared" si="37"/>
        <v>1517.9455240683837</v>
      </c>
      <c r="D288" s="11">
        <f t="shared" si="38"/>
        <v>602.79592542342527</v>
      </c>
      <c r="E288" s="11">
        <f t="shared" si="44"/>
        <v>915.14959864495847</v>
      </c>
      <c r="F288" s="11">
        <f t="shared" si="45"/>
        <v>102421.29475965652</v>
      </c>
      <c r="H288" s="129">
        <f>IF(Principal!$D$25="Anual",IF(MOD(B288+1,12)=0,$W$2*((1+$W$3)^M288),0),$W$2*((1+$W$3)^M288)/12)</f>
        <v>406.5098735347824</v>
      </c>
      <c r="I288" s="68">
        <f t="shared" si="39"/>
        <v>2171.6273226031662</v>
      </c>
      <c r="J288" s="43">
        <f>SUM($I$14:I288)</f>
        <v>587052.79630240123</v>
      </c>
      <c r="K288" s="11">
        <f t="shared" si="40"/>
        <v>0</v>
      </c>
      <c r="L288" s="5">
        <f t="shared" si="41"/>
        <v>1924.4553976031661</v>
      </c>
      <c r="M288" s="10">
        <f t="shared" si="42"/>
        <v>22</v>
      </c>
      <c r="N288" s="189"/>
      <c r="O288" s="130">
        <f>IF(Principal!$D$30="Anual",IF(MOD(B288+1,12)=0,VLOOKUP(M288,'Flujos Anuales'!$B$8:$K$39,9),0),VLOOKUP(M288,'Flujos Anuales'!$B$8:$K$39,9)/12)</f>
        <v>556.30342007335764</v>
      </c>
      <c r="P288" s="120">
        <f>VLOOKUP(M288,'Flujos Anuales'!$B$8:$K$39,10)/12</f>
        <v>43.253876126344529</v>
      </c>
      <c r="Q288" s="120">
        <f t="shared" si="43"/>
        <v>2524.0126938028684</v>
      </c>
    </row>
    <row r="289" spans="2:17" x14ac:dyDescent="0.35">
      <c r="B289" s="10">
        <v>275</v>
      </c>
      <c r="C289" s="11">
        <f t="shared" si="37"/>
        <v>1517.9455240683837</v>
      </c>
      <c r="D289" s="11">
        <f t="shared" si="38"/>
        <v>597.45755276466309</v>
      </c>
      <c r="E289" s="11">
        <f t="shared" si="44"/>
        <v>920.48797130372066</v>
      </c>
      <c r="F289" s="11">
        <f t="shared" si="45"/>
        <v>101500.8067883528</v>
      </c>
      <c r="H289" s="129">
        <f>IF(Principal!$D$25="Anual",IF(MOD(B289+1,12)=0,$W$2*((1+$W$3)^M289),0),$W$2*((1+$W$3)^M289)/12)</f>
        <v>406.5098735347824</v>
      </c>
      <c r="I289" s="68">
        <f t="shared" si="39"/>
        <v>2171.6273226031662</v>
      </c>
      <c r="J289" s="43">
        <f>SUM($I$14:I289)</f>
        <v>589224.42362500436</v>
      </c>
      <c r="K289" s="11">
        <f t="shared" si="40"/>
        <v>0</v>
      </c>
      <c r="L289" s="5">
        <f t="shared" si="41"/>
        <v>1924.4553976031661</v>
      </c>
      <c r="M289" s="10">
        <f t="shared" si="42"/>
        <v>22</v>
      </c>
      <c r="N289" s="189"/>
      <c r="O289" s="130">
        <f>IF(Principal!$D$30="Anual",IF(MOD(B289+1,12)=0,VLOOKUP(M289,'Flujos Anuales'!$B$8:$K$39,9),0),VLOOKUP(M289,'Flujos Anuales'!$B$8:$K$39,9)/12)</f>
        <v>556.30342007335764</v>
      </c>
      <c r="P289" s="120">
        <f>VLOOKUP(M289,'Flujos Anuales'!$B$8:$K$39,10)/12</f>
        <v>43.253876126344529</v>
      </c>
      <c r="Q289" s="120">
        <f t="shared" si="43"/>
        <v>2524.0126938028684</v>
      </c>
    </row>
    <row r="290" spans="2:17" x14ac:dyDescent="0.35">
      <c r="B290" s="10">
        <v>276</v>
      </c>
      <c r="C290" s="11">
        <f t="shared" si="37"/>
        <v>1517.9455240683837</v>
      </c>
      <c r="D290" s="11">
        <f t="shared" si="38"/>
        <v>592.08803959872466</v>
      </c>
      <c r="E290" s="11">
        <f t="shared" si="44"/>
        <v>925.85748446965908</v>
      </c>
      <c r="F290" s="11">
        <f t="shared" si="45"/>
        <v>100574.94930388314</v>
      </c>
      <c r="H290" s="129">
        <f>IF(Principal!$D$25="Anual",IF(MOD(B290+1,12)=0,$W$2*((1+$W$3)^M290),0),$W$2*((1+$W$3)^M290)/12)</f>
        <v>409.30181963556885</v>
      </c>
      <c r="I290" s="68">
        <f t="shared" si="39"/>
        <v>2174.4192687039526</v>
      </c>
      <c r="J290" s="43">
        <f>SUM($I$14:I290)</f>
        <v>591398.84289370826</v>
      </c>
      <c r="K290" s="11">
        <f t="shared" si="40"/>
        <v>0</v>
      </c>
      <c r="L290" s="5">
        <f t="shared" si="41"/>
        <v>1927.2473437039525</v>
      </c>
      <c r="M290" s="10">
        <f t="shared" si="42"/>
        <v>23</v>
      </c>
      <c r="N290" s="189">
        <f>SUM(L290:L301)</f>
        <v>23126.968124447423</v>
      </c>
      <c r="O290" s="130">
        <f>IF(Principal!$D$30="Anual",IF(MOD(B290+1,12)=0,VLOOKUP(M290,'Flujos Anuales'!$B$8:$K$39,9),0),VLOOKUP(M290,'Flujos Anuales'!$B$8:$K$39,9)/12)</f>
        <v>581.71250384934478</v>
      </c>
      <c r="P290" s="120">
        <f>VLOOKUP(M290,'Flujos Anuales'!$B$8:$K$39,10)/12</f>
        <v>43.686414887607981</v>
      </c>
      <c r="Q290" s="120">
        <f t="shared" si="43"/>
        <v>2552.6462624409055</v>
      </c>
    </row>
    <row r="291" spans="2:17" x14ac:dyDescent="0.35">
      <c r="B291" s="10">
        <v>277</v>
      </c>
      <c r="C291" s="11">
        <f t="shared" si="37"/>
        <v>1517.9455240683837</v>
      </c>
      <c r="D291" s="11">
        <f t="shared" si="38"/>
        <v>586.68720427265168</v>
      </c>
      <c r="E291" s="11">
        <f t="shared" si="44"/>
        <v>931.25831979573206</v>
      </c>
      <c r="F291" s="11">
        <f t="shared" si="45"/>
        <v>99643.690984087414</v>
      </c>
      <c r="H291" s="129">
        <f>IF(Principal!$D$25="Anual",IF(MOD(B291+1,12)=0,$W$2*((1+$W$3)^M291),0),$W$2*((1+$W$3)^M291)/12)</f>
        <v>409.30181963556885</v>
      </c>
      <c r="I291" s="68">
        <f t="shared" si="39"/>
        <v>2174.4192687039526</v>
      </c>
      <c r="J291" s="43">
        <f>SUM($I$14:I291)</f>
        <v>593573.26216241217</v>
      </c>
      <c r="K291" s="11">
        <f t="shared" si="40"/>
        <v>0</v>
      </c>
      <c r="L291" s="5">
        <f t="shared" si="41"/>
        <v>1927.2473437039525</v>
      </c>
      <c r="M291" s="10">
        <f t="shared" si="42"/>
        <v>23</v>
      </c>
      <c r="N291" s="189"/>
      <c r="O291" s="130">
        <f>IF(Principal!$D$30="Anual",IF(MOD(B291+1,12)=0,VLOOKUP(M291,'Flujos Anuales'!$B$8:$K$39,9),0),VLOOKUP(M291,'Flujos Anuales'!$B$8:$K$39,9)/12)</f>
        <v>581.71250384934478</v>
      </c>
      <c r="P291" s="120">
        <f>VLOOKUP(M291,'Flujos Anuales'!$B$8:$K$39,10)/12</f>
        <v>43.686414887607981</v>
      </c>
      <c r="Q291" s="120">
        <f t="shared" si="43"/>
        <v>2552.6462624409055</v>
      </c>
    </row>
    <row r="292" spans="2:17" x14ac:dyDescent="0.35">
      <c r="B292" s="10">
        <v>278</v>
      </c>
      <c r="C292" s="11">
        <f t="shared" si="37"/>
        <v>1517.9455240683837</v>
      </c>
      <c r="D292" s="11">
        <f t="shared" si="38"/>
        <v>581.25486407384324</v>
      </c>
      <c r="E292" s="11">
        <f t="shared" si="44"/>
        <v>936.69065999454051</v>
      </c>
      <c r="F292" s="11">
        <f t="shared" si="45"/>
        <v>98707.000324092878</v>
      </c>
      <c r="H292" s="129">
        <f>IF(Principal!$D$25="Anual",IF(MOD(B292+1,12)=0,$W$2*((1+$W$3)^M292),0),$W$2*((1+$W$3)^M292)/12)</f>
        <v>409.30181963556885</v>
      </c>
      <c r="I292" s="68">
        <f t="shared" si="39"/>
        <v>2174.4192687039526</v>
      </c>
      <c r="J292" s="43">
        <f>SUM($I$14:I292)</f>
        <v>595747.68143111607</v>
      </c>
      <c r="K292" s="11">
        <f t="shared" si="40"/>
        <v>0</v>
      </c>
      <c r="L292" s="5">
        <f t="shared" si="41"/>
        <v>1927.2473437039525</v>
      </c>
      <c r="M292" s="10">
        <f t="shared" si="42"/>
        <v>23</v>
      </c>
      <c r="N292" s="189"/>
      <c r="O292" s="130">
        <f>IF(Principal!$D$30="Anual",IF(MOD(B292+1,12)=0,VLOOKUP(M292,'Flujos Anuales'!$B$8:$K$39,9),0),VLOOKUP(M292,'Flujos Anuales'!$B$8:$K$39,9)/12)</f>
        <v>581.71250384934478</v>
      </c>
      <c r="P292" s="120">
        <f>VLOOKUP(M292,'Flujos Anuales'!$B$8:$K$39,10)/12</f>
        <v>43.686414887607981</v>
      </c>
      <c r="Q292" s="120">
        <f t="shared" si="43"/>
        <v>2552.6462624409055</v>
      </c>
    </row>
    <row r="293" spans="2:17" x14ac:dyDescent="0.35">
      <c r="B293" s="10">
        <v>279</v>
      </c>
      <c r="C293" s="11">
        <f t="shared" si="37"/>
        <v>1517.9455240683837</v>
      </c>
      <c r="D293" s="11">
        <f t="shared" si="38"/>
        <v>575.79083522387509</v>
      </c>
      <c r="E293" s="11">
        <f t="shared" si="44"/>
        <v>942.15468884450866</v>
      </c>
      <c r="F293" s="11">
        <f t="shared" si="45"/>
        <v>97764.845635248363</v>
      </c>
      <c r="H293" s="129">
        <f>IF(Principal!$D$25="Anual",IF(MOD(B293+1,12)=0,$W$2*((1+$W$3)^M293),0),$W$2*((1+$W$3)^M293)/12)</f>
        <v>409.30181963556885</v>
      </c>
      <c r="I293" s="68">
        <f t="shared" si="39"/>
        <v>2174.4192687039526</v>
      </c>
      <c r="J293" s="43">
        <f>SUM($I$14:I293)</f>
        <v>597922.10069981997</v>
      </c>
      <c r="K293" s="11">
        <f t="shared" si="40"/>
        <v>0</v>
      </c>
      <c r="L293" s="5">
        <f t="shared" si="41"/>
        <v>1927.2473437039525</v>
      </c>
      <c r="M293" s="10">
        <f t="shared" si="42"/>
        <v>23</v>
      </c>
      <c r="N293" s="189"/>
      <c r="O293" s="130">
        <f>IF(Principal!$D$30="Anual",IF(MOD(B293+1,12)=0,VLOOKUP(M293,'Flujos Anuales'!$B$8:$K$39,9),0),VLOOKUP(M293,'Flujos Anuales'!$B$8:$K$39,9)/12)</f>
        <v>581.71250384934478</v>
      </c>
      <c r="P293" s="120">
        <f>VLOOKUP(M293,'Flujos Anuales'!$B$8:$K$39,10)/12</f>
        <v>43.686414887607981</v>
      </c>
      <c r="Q293" s="120">
        <f t="shared" si="43"/>
        <v>2552.6462624409055</v>
      </c>
    </row>
    <row r="294" spans="2:17" x14ac:dyDescent="0.35">
      <c r="B294" s="10">
        <v>280</v>
      </c>
      <c r="C294" s="11">
        <f t="shared" si="37"/>
        <v>1517.9455240683837</v>
      </c>
      <c r="D294" s="11">
        <f t="shared" si="38"/>
        <v>570.29493287228217</v>
      </c>
      <c r="E294" s="11">
        <f t="shared" si="44"/>
        <v>947.65059119610157</v>
      </c>
      <c r="F294" s="11">
        <f t="shared" si="45"/>
        <v>96817.195044052263</v>
      </c>
      <c r="H294" s="129">
        <f>IF(Principal!$D$25="Anual",IF(MOD(B294+1,12)=0,$W$2*((1+$W$3)^M294),0),$W$2*((1+$W$3)^M294)/12)</f>
        <v>409.30181963556885</v>
      </c>
      <c r="I294" s="68">
        <f t="shared" si="39"/>
        <v>2174.4192687039526</v>
      </c>
      <c r="J294" s="43">
        <f>SUM($I$14:I294)</f>
        <v>600096.51996852388</v>
      </c>
      <c r="K294" s="11">
        <f t="shared" si="40"/>
        <v>0</v>
      </c>
      <c r="L294" s="5">
        <f t="shared" si="41"/>
        <v>1927.2473437039525</v>
      </c>
      <c r="M294" s="10">
        <f t="shared" si="42"/>
        <v>23</v>
      </c>
      <c r="N294" s="189"/>
      <c r="O294" s="130">
        <f>IF(Principal!$D$30="Anual",IF(MOD(B294+1,12)=0,VLOOKUP(M294,'Flujos Anuales'!$B$8:$K$39,9),0),VLOOKUP(M294,'Flujos Anuales'!$B$8:$K$39,9)/12)</f>
        <v>581.71250384934478</v>
      </c>
      <c r="P294" s="120">
        <f>VLOOKUP(M294,'Flujos Anuales'!$B$8:$K$39,10)/12</f>
        <v>43.686414887607981</v>
      </c>
      <c r="Q294" s="120">
        <f t="shared" si="43"/>
        <v>2552.6462624409055</v>
      </c>
    </row>
    <row r="295" spans="2:17" x14ac:dyDescent="0.35">
      <c r="B295" s="10">
        <v>281</v>
      </c>
      <c r="C295" s="11">
        <f t="shared" si="37"/>
        <v>1517.9455240683837</v>
      </c>
      <c r="D295" s="11">
        <f t="shared" si="38"/>
        <v>564.76697109030488</v>
      </c>
      <c r="E295" s="11">
        <f t="shared" si="44"/>
        <v>953.17855297807887</v>
      </c>
      <c r="F295" s="11">
        <f t="shared" si="45"/>
        <v>95864.016491074188</v>
      </c>
      <c r="H295" s="129">
        <f>IF(Principal!$D$25="Anual",IF(MOD(B295+1,12)=0,$W$2*((1+$W$3)^M295),0),$W$2*((1+$W$3)^M295)/12)</f>
        <v>409.30181963556885</v>
      </c>
      <c r="I295" s="68">
        <f t="shared" si="39"/>
        <v>2174.4192687039526</v>
      </c>
      <c r="J295" s="43">
        <f>SUM($I$14:I295)</f>
        <v>602270.93923722778</v>
      </c>
      <c r="K295" s="11">
        <f t="shared" si="40"/>
        <v>0</v>
      </c>
      <c r="L295" s="5">
        <f t="shared" si="41"/>
        <v>1927.2473437039525</v>
      </c>
      <c r="M295" s="10">
        <f t="shared" si="42"/>
        <v>23</v>
      </c>
      <c r="N295" s="189"/>
      <c r="O295" s="130">
        <f>IF(Principal!$D$30="Anual",IF(MOD(B295+1,12)=0,VLOOKUP(M295,'Flujos Anuales'!$B$8:$K$39,9),0),VLOOKUP(M295,'Flujos Anuales'!$B$8:$K$39,9)/12)</f>
        <v>581.71250384934478</v>
      </c>
      <c r="P295" s="120">
        <f>VLOOKUP(M295,'Flujos Anuales'!$B$8:$K$39,10)/12</f>
        <v>43.686414887607981</v>
      </c>
      <c r="Q295" s="120">
        <f t="shared" si="43"/>
        <v>2552.6462624409055</v>
      </c>
    </row>
    <row r="296" spans="2:17" x14ac:dyDescent="0.35">
      <c r="B296" s="10">
        <v>282</v>
      </c>
      <c r="C296" s="11">
        <f t="shared" si="37"/>
        <v>1517.9455240683837</v>
      </c>
      <c r="D296" s="11">
        <f t="shared" si="38"/>
        <v>559.20676286459945</v>
      </c>
      <c r="E296" s="11">
        <f t="shared" si="44"/>
        <v>958.73876120378429</v>
      </c>
      <c r="F296" s="11">
        <f t="shared" si="45"/>
        <v>94905.277729870402</v>
      </c>
      <c r="H296" s="129">
        <f>IF(Principal!$D$25="Anual",IF(MOD(B296+1,12)=0,$W$2*((1+$W$3)^M296),0),$W$2*((1+$W$3)^M296)/12)</f>
        <v>409.30181963556885</v>
      </c>
      <c r="I296" s="68">
        <f t="shared" si="39"/>
        <v>2174.4192687039526</v>
      </c>
      <c r="J296" s="43">
        <f>SUM($I$14:I296)</f>
        <v>604445.35850593168</v>
      </c>
      <c r="K296" s="11">
        <f t="shared" si="40"/>
        <v>0</v>
      </c>
      <c r="L296" s="5">
        <f t="shared" si="41"/>
        <v>1927.2473437039525</v>
      </c>
      <c r="M296" s="10">
        <f t="shared" si="42"/>
        <v>23</v>
      </c>
      <c r="N296" s="189"/>
      <c r="O296" s="130">
        <f>IF(Principal!$D$30="Anual",IF(MOD(B296+1,12)=0,VLOOKUP(M296,'Flujos Anuales'!$B$8:$K$39,9),0),VLOOKUP(M296,'Flujos Anuales'!$B$8:$K$39,9)/12)</f>
        <v>581.71250384934478</v>
      </c>
      <c r="P296" s="120">
        <f>VLOOKUP(M296,'Flujos Anuales'!$B$8:$K$39,10)/12</f>
        <v>43.686414887607981</v>
      </c>
      <c r="Q296" s="120">
        <f t="shared" si="43"/>
        <v>2552.6462624409055</v>
      </c>
    </row>
    <row r="297" spans="2:17" x14ac:dyDescent="0.35">
      <c r="B297" s="10">
        <v>283</v>
      </c>
      <c r="C297" s="11">
        <f t="shared" si="37"/>
        <v>1517.9455240683837</v>
      </c>
      <c r="D297" s="11">
        <f t="shared" si="38"/>
        <v>553.61412009091066</v>
      </c>
      <c r="E297" s="11">
        <f t="shared" si="44"/>
        <v>964.33140397747309</v>
      </c>
      <c r="F297" s="11">
        <f t="shared" si="45"/>
        <v>93940.946325892932</v>
      </c>
      <c r="H297" s="129">
        <f>IF(Principal!$D$25="Anual",IF(MOD(B297+1,12)=0,$W$2*((1+$W$3)^M297),0),$W$2*((1+$W$3)^M297)/12)</f>
        <v>409.30181963556885</v>
      </c>
      <c r="I297" s="68">
        <f t="shared" si="39"/>
        <v>2174.4192687039526</v>
      </c>
      <c r="J297" s="43">
        <f>SUM($I$14:I297)</f>
        <v>606619.77777463559</v>
      </c>
      <c r="K297" s="11">
        <f t="shared" si="40"/>
        <v>0</v>
      </c>
      <c r="L297" s="5">
        <f t="shared" si="41"/>
        <v>1927.2473437039525</v>
      </c>
      <c r="M297" s="10">
        <f t="shared" si="42"/>
        <v>23</v>
      </c>
      <c r="N297" s="189"/>
      <c r="O297" s="130">
        <f>IF(Principal!$D$30="Anual",IF(MOD(B297+1,12)=0,VLOOKUP(M297,'Flujos Anuales'!$B$8:$K$39,9),0),VLOOKUP(M297,'Flujos Anuales'!$B$8:$K$39,9)/12)</f>
        <v>581.71250384934478</v>
      </c>
      <c r="P297" s="120">
        <f>VLOOKUP(M297,'Flujos Anuales'!$B$8:$K$39,10)/12</f>
        <v>43.686414887607981</v>
      </c>
      <c r="Q297" s="120">
        <f t="shared" si="43"/>
        <v>2552.6462624409055</v>
      </c>
    </row>
    <row r="298" spans="2:17" x14ac:dyDescent="0.35">
      <c r="B298" s="10">
        <v>284</v>
      </c>
      <c r="C298" s="11">
        <f t="shared" si="37"/>
        <v>1517.9455240683837</v>
      </c>
      <c r="D298" s="11">
        <f t="shared" si="38"/>
        <v>547.98885356770882</v>
      </c>
      <c r="E298" s="11">
        <f t="shared" si="44"/>
        <v>969.95667050067493</v>
      </c>
      <c r="F298" s="11">
        <f t="shared" si="45"/>
        <v>92970.989655392259</v>
      </c>
      <c r="H298" s="129">
        <f>IF(Principal!$D$25="Anual",IF(MOD(B298+1,12)=0,$W$2*((1+$W$3)^M298),0),$W$2*((1+$W$3)^M298)/12)</f>
        <v>409.30181963556885</v>
      </c>
      <c r="I298" s="68">
        <f t="shared" si="39"/>
        <v>2174.4192687039526</v>
      </c>
      <c r="J298" s="43">
        <f>SUM($I$14:I298)</f>
        <v>608794.19704333949</v>
      </c>
      <c r="K298" s="11">
        <f t="shared" si="40"/>
        <v>0</v>
      </c>
      <c r="L298" s="5">
        <f t="shared" si="41"/>
        <v>1927.2473437039525</v>
      </c>
      <c r="M298" s="10">
        <f t="shared" si="42"/>
        <v>23</v>
      </c>
      <c r="N298" s="189"/>
      <c r="O298" s="130">
        <f>IF(Principal!$D$30="Anual",IF(MOD(B298+1,12)=0,VLOOKUP(M298,'Flujos Anuales'!$B$8:$K$39,9),0),VLOOKUP(M298,'Flujos Anuales'!$B$8:$K$39,9)/12)</f>
        <v>581.71250384934478</v>
      </c>
      <c r="P298" s="120">
        <f>VLOOKUP(M298,'Flujos Anuales'!$B$8:$K$39,10)/12</f>
        <v>43.686414887607981</v>
      </c>
      <c r="Q298" s="120">
        <f t="shared" si="43"/>
        <v>2552.6462624409055</v>
      </c>
    </row>
    <row r="299" spans="2:17" x14ac:dyDescent="0.35">
      <c r="B299" s="10">
        <v>285</v>
      </c>
      <c r="C299" s="11">
        <f t="shared" si="37"/>
        <v>1517.9455240683837</v>
      </c>
      <c r="D299" s="11">
        <f t="shared" si="38"/>
        <v>542.33077298978822</v>
      </c>
      <c r="E299" s="11">
        <f t="shared" si="44"/>
        <v>975.61475107859553</v>
      </c>
      <c r="F299" s="11">
        <f t="shared" si="45"/>
        <v>91995.374904313663</v>
      </c>
      <c r="H299" s="129">
        <f>IF(Principal!$D$25="Anual",IF(MOD(B299+1,12)=0,$W$2*((1+$W$3)^M299),0),$W$2*((1+$W$3)^M299)/12)</f>
        <v>409.30181963556885</v>
      </c>
      <c r="I299" s="68">
        <f t="shared" si="39"/>
        <v>2174.4192687039526</v>
      </c>
      <c r="J299" s="43">
        <f>SUM($I$14:I299)</f>
        <v>610968.61631204339</v>
      </c>
      <c r="K299" s="11">
        <f t="shared" si="40"/>
        <v>0</v>
      </c>
      <c r="L299" s="5">
        <f t="shared" si="41"/>
        <v>1927.2473437039525</v>
      </c>
      <c r="M299" s="10">
        <f t="shared" si="42"/>
        <v>23</v>
      </c>
      <c r="N299" s="189"/>
      <c r="O299" s="130">
        <f>IF(Principal!$D$30="Anual",IF(MOD(B299+1,12)=0,VLOOKUP(M299,'Flujos Anuales'!$B$8:$K$39,9),0),VLOOKUP(M299,'Flujos Anuales'!$B$8:$K$39,9)/12)</f>
        <v>581.71250384934478</v>
      </c>
      <c r="P299" s="120">
        <f>VLOOKUP(M299,'Flujos Anuales'!$B$8:$K$39,10)/12</f>
        <v>43.686414887607981</v>
      </c>
      <c r="Q299" s="120">
        <f t="shared" si="43"/>
        <v>2552.6462624409055</v>
      </c>
    </row>
    <row r="300" spans="2:17" x14ac:dyDescent="0.35">
      <c r="B300" s="10">
        <v>286</v>
      </c>
      <c r="C300" s="11">
        <f t="shared" si="37"/>
        <v>1517.9455240683837</v>
      </c>
      <c r="D300" s="11">
        <f t="shared" si="38"/>
        <v>536.63968694182972</v>
      </c>
      <c r="E300" s="11">
        <f t="shared" si="44"/>
        <v>981.30583712655402</v>
      </c>
      <c r="F300" s="11">
        <f t="shared" si="45"/>
        <v>91014.069067187113</v>
      </c>
      <c r="H300" s="129">
        <f>IF(Principal!$D$25="Anual",IF(MOD(B300+1,12)=0,$W$2*((1+$W$3)^M300),0),$W$2*((1+$W$3)^M300)/12)</f>
        <v>409.30181963556885</v>
      </c>
      <c r="I300" s="68">
        <f t="shared" si="39"/>
        <v>2174.4192687039526</v>
      </c>
      <c r="J300" s="43">
        <f>SUM($I$14:I300)</f>
        <v>613143.0355807473</v>
      </c>
      <c r="K300" s="11">
        <f t="shared" si="40"/>
        <v>0</v>
      </c>
      <c r="L300" s="5">
        <f t="shared" si="41"/>
        <v>1927.2473437039525</v>
      </c>
      <c r="M300" s="10">
        <f t="shared" si="42"/>
        <v>23</v>
      </c>
      <c r="N300" s="189"/>
      <c r="O300" s="130">
        <f>IF(Principal!$D$30="Anual",IF(MOD(B300+1,12)=0,VLOOKUP(M300,'Flujos Anuales'!$B$8:$K$39,9),0),VLOOKUP(M300,'Flujos Anuales'!$B$8:$K$39,9)/12)</f>
        <v>581.71250384934478</v>
      </c>
      <c r="P300" s="120">
        <f>VLOOKUP(M300,'Flujos Anuales'!$B$8:$K$39,10)/12</f>
        <v>43.686414887607981</v>
      </c>
      <c r="Q300" s="120">
        <f t="shared" si="43"/>
        <v>2552.6462624409055</v>
      </c>
    </row>
    <row r="301" spans="2:17" x14ac:dyDescent="0.35">
      <c r="B301" s="10">
        <v>287</v>
      </c>
      <c r="C301" s="11">
        <f t="shared" si="37"/>
        <v>1517.9455240683837</v>
      </c>
      <c r="D301" s="11">
        <f t="shared" si="38"/>
        <v>530.91540289192483</v>
      </c>
      <c r="E301" s="11">
        <f t="shared" si="44"/>
        <v>987.03012117645892</v>
      </c>
      <c r="F301" s="11">
        <f t="shared" si="45"/>
        <v>90027.038946010653</v>
      </c>
      <c r="H301" s="129">
        <f>IF(Principal!$D$25="Anual",IF(MOD(B301+1,12)=0,$W$2*((1+$W$3)^M301),0),$W$2*((1+$W$3)^M301)/12)</f>
        <v>409.30181963556885</v>
      </c>
      <c r="I301" s="68">
        <f t="shared" si="39"/>
        <v>2174.4192687039526</v>
      </c>
      <c r="J301" s="43">
        <f>SUM($I$14:I301)</f>
        <v>615317.4548494512</v>
      </c>
      <c r="K301" s="11">
        <f t="shared" si="40"/>
        <v>0</v>
      </c>
      <c r="L301" s="5">
        <f t="shared" si="41"/>
        <v>1927.2473437039525</v>
      </c>
      <c r="M301" s="10">
        <f t="shared" si="42"/>
        <v>23</v>
      </c>
      <c r="N301" s="189"/>
      <c r="O301" s="130">
        <f>IF(Principal!$D$30="Anual",IF(MOD(B301+1,12)=0,VLOOKUP(M301,'Flujos Anuales'!$B$8:$K$39,9),0),VLOOKUP(M301,'Flujos Anuales'!$B$8:$K$39,9)/12)</f>
        <v>581.71250384934478</v>
      </c>
      <c r="P301" s="120">
        <f>VLOOKUP(M301,'Flujos Anuales'!$B$8:$K$39,10)/12</f>
        <v>43.686414887607981</v>
      </c>
      <c r="Q301" s="120">
        <f t="shared" si="43"/>
        <v>2552.6462624409055</v>
      </c>
    </row>
    <row r="302" spans="2:17" x14ac:dyDescent="0.35">
      <c r="B302" s="10">
        <v>288</v>
      </c>
      <c r="C302" s="11">
        <f t="shared" si="37"/>
        <v>1517.9455240683837</v>
      </c>
      <c r="D302" s="11">
        <f t="shared" si="38"/>
        <v>525.15772718506219</v>
      </c>
      <c r="E302" s="11">
        <f t="shared" si="44"/>
        <v>992.78779688332156</v>
      </c>
      <c r="F302" s="11">
        <f t="shared" si="45"/>
        <v>89034.251149127333</v>
      </c>
      <c r="H302" s="129">
        <f>IF(Principal!$D$25="Anual",IF(MOD(B302+1,12)=0,$W$2*((1+$W$3)^M302),0),$W$2*((1+$W$3)^M302)/12)</f>
        <v>412.11294107141413</v>
      </c>
      <c r="I302" s="68">
        <f t="shared" si="39"/>
        <v>2177.2303901397977</v>
      </c>
      <c r="J302" s="43">
        <f>SUM($I$14:I302)</f>
        <v>617494.68523959105</v>
      </c>
      <c r="K302" s="11">
        <f t="shared" si="40"/>
        <v>0</v>
      </c>
      <c r="L302" s="5">
        <f t="shared" si="41"/>
        <v>1930.0584651397976</v>
      </c>
      <c r="M302" s="10">
        <f t="shared" si="42"/>
        <v>24</v>
      </c>
      <c r="N302" s="189">
        <f>SUM(L302:L313)</f>
        <v>23160.701581677578</v>
      </c>
      <c r="O302" s="130">
        <f>IF(Principal!$D$30="Anual",IF(MOD(B302+1,12)=0,VLOOKUP(M302,'Flujos Anuales'!$B$8:$K$39,9),0),VLOOKUP(M302,'Flujos Anuales'!$B$8:$K$39,9)/12)</f>
        <v>608.28214410411499</v>
      </c>
      <c r="P302" s="120">
        <f>VLOOKUP(M302,'Flujos Anuales'!$B$8:$K$39,10)/12</f>
        <v>44.123279036484064</v>
      </c>
      <c r="Q302" s="120">
        <f t="shared" si="43"/>
        <v>2582.4638882803965</v>
      </c>
    </row>
    <row r="303" spans="2:17" x14ac:dyDescent="0.35">
      <c r="B303" s="10">
        <v>289</v>
      </c>
      <c r="C303" s="11">
        <f t="shared" si="37"/>
        <v>1517.9455240683837</v>
      </c>
      <c r="D303" s="11">
        <f t="shared" si="38"/>
        <v>519.36646503657619</v>
      </c>
      <c r="E303" s="11">
        <f t="shared" si="44"/>
        <v>998.57905903180756</v>
      </c>
      <c r="F303" s="11">
        <f t="shared" si="45"/>
        <v>88035.672090095526</v>
      </c>
      <c r="H303" s="129">
        <f>IF(Principal!$D$25="Anual",IF(MOD(B303+1,12)=0,$W$2*((1+$W$3)^M303),0),$W$2*((1+$W$3)^M303)/12)</f>
        <v>412.11294107141413</v>
      </c>
      <c r="I303" s="68">
        <f t="shared" si="39"/>
        <v>2177.2303901397977</v>
      </c>
      <c r="J303" s="43">
        <f>SUM($I$14:I303)</f>
        <v>619671.91562973091</v>
      </c>
      <c r="K303" s="11">
        <f t="shared" si="40"/>
        <v>0</v>
      </c>
      <c r="L303" s="5">
        <f t="shared" si="41"/>
        <v>1930.0584651397976</v>
      </c>
      <c r="M303" s="10">
        <f t="shared" si="42"/>
        <v>24</v>
      </c>
      <c r="N303" s="189"/>
      <c r="O303" s="130">
        <f>IF(Principal!$D$30="Anual",IF(MOD(B303+1,12)=0,VLOOKUP(M303,'Flujos Anuales'!$B$8:$K$39,9),0),VLOOKUP(M303,'Flujos Anuales'!$B$8:$K$39,9)/12)</f>
        <v>608.28214410411499</v>
      </c>
      <c r="P303" s="120">
        <f>VLOOKUP(M303,'Flujos Anuales'!$B$8:$K$39,10)/12</f>
        <v>44.123279036484064</v>
      </c>
      <c r="Q303" s="120">
        <f t="shared" si="43"/>
        <v>2582.4638882803965</v>
      </c>
    </row>
    <row r="304" spans="2:17" x14ac:dyDescent="0.35">
      <c r="B304" s="10">
        <v>290</v>
      </c>
      <c r="C304" s="11">
        <f t="shared" si="37"/>
        <v>1517.9455240683837</v>
      </c>
      <c r="D304" s="11">
        <f t="shared" si="38"/>
        <v>513.54142052555721</v>
      </c>
      <c r="E304" s="11">
        <f t="shared" si="44"/>
        <v>1004.4041035428265</v>
      </c>
      <c r="F304" s="11">
        <f t="shared" si="45"/>
        <v>87031.267986552702</v>
      </c>
      <c r="H304" s="129">
        <f>IF(Principal!$D$25="Anual",IF(MOD(B304+1,12)=0,$W$2*((1+$W$3)^M304),0),$W$2*((1+$W$3)^M304)/12)</f>
        <v>412.11294107141413</v>
      </c>
      <c r="I304" s="68">
        <f t="shared" si="39"/>
        <v>2177.2303901397977</v>
      </c>
      <c r="J304" s="43">
        <f>SUM($I$14:I304)</f>
        <v>621849.14601987076</v>
      </c>
      <c r="K304" s="11">
        <f t="shared" si="40"/>
        <v>0</v>
      </c>
      <c r="L304" s="5">
        <f t="shared" si="41"/>
        <v>1930.0584651397976</v>
      </c>
      <c r="M304" s="10">
        <f t="shared" si="42"/>
        <v>24</v>
      </c>
      <c r="N304" s="189"/>
      <c r="O304" s="130">
        <f>IF(Principal!$D$30="Anual",IF(MOD(B304+1,12)=0,VLOOKUP(M304,'Flujos Anuales'!$B$8:$K$39,9),0),VLOOKUP(M304,'Flujos Anuales'!$B$8:$K$39,9)/12)</f>
        <v>608.28214410411499</v>
      </c>
      <c r="P304" s="120">
        <f>VLOOKUP(M304,'Flujos Anuales'!$B$8:$K$39,10)/12</f>
        <v>44.123279036484064</v>
      </c>
      <c r="Q304" s="120">
        <f t="shared" si="43"/>
        <v>2582.4638882803965</v>
      </c>
    </row>
    <row r="305" spans="2:17" x14ac:dyDescent="0.35">
      <c r="B305" s="10">
        <v>291</v>
      </c>
      <c r="C305" s="11">
        <f t="shared" si="37"/>
        <v>1517.9455240683837</v>
      </c>
      <c r="D305" s="11">
        <f t="shared" si="38"/>
        <v>507.68239658822409</v>
      </c>
      <c r="E305" s="11">
        <f t="shared" si="44"/>
        <v>1010.2631274801597</v>
      </c>
      <c r="F305" s="11">
        <f t="shared" si="45"/>
        <v>86021.004859072549</v>
      </c>
      <c r="H305" s="129">
        <f>IF(Principal!$D$25="Anual",IF(MOD(B305+1,12)=0,$W$2*((1+$W$3)^M305),0),$W$2*((1+$W$3)^M305)/12)</f>
        <v>412.11294107141413</v>
      </c>
      <c r="I305" s="68">
        <f t="shared" si="39"/>
        <v>2177.2303901397977</v>
      </c>
      <c r="J305" s="43">
        <f>SUM($I$14:I305)</f>
        <v>624026.37641001062</v>
      </c>
      <c r="K305" s="11">
        <f t="shared" si="40"/>
        <v>0</v>
      </c>
      <c r="L305" s="5">
        <f t="shared" si="41"/>
        <v>1930.0584651397976</v>
      </c>
      <c r="M305" s="10">
        <f t="shared" si="42"/>
        <v>24</v>
      </c>
      <c r="N305" s="189"/>
      <c r="O305" s="130">
        <f>IF(Principal!$D$30="Anual",IF(MOD(B305+1,12)=0,VLOOKUP(M305,'Flujos Anuales'!$B$8:$K$39,9),0),VLOOKUP(M305,'Flujos Anuales'!$B$8:$K$39,9)/12)</f>
        <v>608.28214410411499</v>
      </c>
      <c r="P305" s="120">
        <f>VLOOKUP(M305,'Flujos Anuales'!$B$8:$K$39,10)/12</f>
        <v>44.123279036484064</v>
      </c>
      <c r="Q305" s="120">
        <f t="shared" si="43"/>
        <v>2582.4638882803965</v>
      </c>
    </row>
    <row r="306" spans="2:17" x14ac:dyDescent="0.35">
      <c r="B306" s="10">
        <v>292</v>
      </c>
      <c r="C306" s="11">
        <f t="shared" si="37"/>
        <v>1517.9455240683837</v>
      </c>
      <c r="D306" s="11">
        <f t="shared" si="38"/>
        <v>501.78919501125654</v>
      </c>
      <c r="E306" s="11">
        <f t="shared" si="44"/>
        <v>1016.1563290571272</v>
      </c>
      <c r="F306" s="11">
        <f t="shared" si="45"/>
        <v>85004.848530015428</v>
      </c>
      <c r="H306" s="129">
        <f>IF(Principal!$D$25="Anual",IF(MOD(B306+1,12)=0,$W$2*((1+$W$3)^M306),0),$W$2*((1+$W$3)^M306)/12)</f>
        <v>412.11294107141413</v>
      </c>
      <c r="I306" s="68">
        <f t="shared" si="39"/>
        <v>2177.2303901397977</v>
      </c>
      <c r="J306" s="43">
        <f>SUM($I$14:I306)</f>
        <v>626203.60680015048</v>
      </c>
      <c r="K306" s="11">
        <f t="shared" si="40"/>
        <v>0</v>
      </c>
      <c r="L306" s="5">
        <f t="shared" si="41"/>
        <v>1930.0584651397976</v>
      </c>
      <c r="M306" s="10">
        <f t="shared" si="42"/>
        <v>24</v>
      </c>
      <c r="N306" s="189"/>
      <c r="O306" s="130">
        <f>IF(Principal!$D$30="Anual",IF(MOD(B306+1,12)=0,VLOOKUP(M306,'Flujos Anuales'!$B$8:$K$39,9),0),VLOOKUP(M306,'Flujos Anuales'!$B$8:$K$39,9)/12)</f>
        <v>608.28214410411499</v>
      </c>
      <c r="P306" s="120">
        <f>VLOOKUP(M306,'Flujos Anuales'!$B$8:$K$39,10)/12</f>
        <v>44.123279036484064</v>
      </c>
      <c r="Q306" s="120">
        <f t="shared" si="43"/>
        <v>2582.4638882803965</v>
      </c>
    </row>
    <row r="307" spans="2:17" x14ac:dyDescent="0.35">
      <c r="B307" s="10">
        <v>293</v>
      </c>
      <c r="C307" s="11">
        <f t="shared" si="37"/>
        <v>1517.9455240683837</v>
      </c>
      <c r="D307" s="11">
        <f t="shared" si="38"/>
        <v>495.86161642509001</v>
      </c>
      <c r="E307" s="11">
        <f t="shared" si="44"/>
        <v>1022.0839076432937</v>
      </c>
      <c r="F307" s="11">
        <f t="shared" si="45"/>
        <v>83982.764622372139</v>
      </c>
      <c r="H307" s="129">
        <f>IF(Principal!$D$25="Anual",IF(MOD(B307+1,12)=0,$W$2*((1+$W$3)^M307),0),$W$2*((1+$W$3)^M307)/12)</f>
        <v>412.11294107141413</v>
      </c>
      <c r="I307" s="68">
        <f t="shared" si="39"/>
        <v>2177.2303901397977</v>
      </c>
      <c r="J307" s="43">
        <f>SUM($I$14:I307)</f>
        <v>628380.83719029033</v>
      </c>
      <c r="K307" s="11">
        <f t="shared" si="40"/>
        <v>0</v>
      </c>
      <c r="L307" s="5">
        <f t="shared" si="41"/>
        <v>1930.0584651397976</v>
      </c>
      <c r="M307" s="10">
        <f t="shared" si="42"/>
        <v>24</v>
      </c>
      <c r="N307" s="189"/>
      <c r="O307" s="130">
        <f>IF(Principal!$D$30="Anual",IF(MOD(B307+1,12)=0,VLOOKUP(M307,'Flujos Anuales'!$B$8:$K$39,9),0),VLOOKUP(M307,'Flujos Anuales'!$B$8:$K$39,9)/12)</f>
        <v>608.28214410411499</v>
      </c>
      <c r="P307" s="120">
        <f>VLOOKUP(M307,'Flujos Anuales'!$B$8:$K$39,10)/12</f>
        <v>44.123279036484064</v>
      </c>
      <c r="Q307" s="120">
        <f t="shared" si="43"/>
        <v>2582.4638882803965</v>
      </c>
    </row>
    <row r="308" spans="2:17" x14ac:dyDescent="0.35">
      <c r="B308" s="10">
        <v>294</v>
      </c>
      <c r="C308" s="11">
        <f t="shared" si="37"/>
        <v>1517.9455240683837</v>
      </c>
      <c r="D308" s="11">
        <f t="shared" si="38"/>
        <v>489.89946029717083</v>
      </c>
      <c r="E308" s="11">
        <f t="shared" si="44"/>
        <v>1028.0460637712129</v>
      </c>
      <c r="F308" s="11">
        <f t="shared" si="45"/>
        <v>82954.718558600929</v>
      </c>
      <c r="H308" s="129">
        <f>IF(Principal!$D$25="Anual",IF(MOD(B308+1,12)=0,$W$2*((1+$W$3)^M308),0),$W$2*((1+$W$3)^M308)/12)</f>
        <v>412.11294107141413</v>
      </c>
      <c r="I308" s="68">
        <f t="shared" si="39"/>
        <v>2177.2303901397977</v>
      </c>
      <c r="J308" s="43">
        <f>SUM($I$14:I308)</f>
        <v>630558.06758043019</v>
      </c>
      <c r="K308" s="11">
        <f t="shared" si="40"/>
        <v>0</v>
      </c>
      <c r="L308" s="5">
        <f t="shared" si="41"/>
        <v>1930.0584651397976</v>
      </c>
      <c r="M308" s="10">
        <f t="shared" si="42"/>
        <v>24</v>
      </c>
      <c r="N308" s="189"/>
      <c r="O308" s="130">
        <f>IF(Principal!$D$30="Anual",IF(MOD(B308+1,12)=0,VLOOKUP(M308,'Flujos Anuales'!$B$8:$K$39,9),0),VLOOKUP(M308,'Flujos Anuales'!$B$8:$K$39,9)/12)</f>
        <v>608.28214410411499</v>
      </c>
      <c r="P308" s="120">
        <f>VLOOKUP(M308,'Flujos Anuales'!$B$8:$K$39,10)/12</f>
        <v>44.123279036484064</v>
      </c>
      <c r="Q308" s="120">
        <f t="shared" si="43"/>
        <v>2582.4638882803965</v>
      </c>
    </row>
    <row r="309" spans="2:17" x14ac:dyDescent="0.35">
      <c r="B309" s="10">
        <v>295</v>
      </c>
      <c r="C309" s="11">
        <f t="shared" si="37"/>
        <v>1517.9455240683837</v>
      </c>
      <c r="D309" s="11">
        <f t="shared" si="38"/>
        <v>483.90252492517209</v>
      </c>
      <c r="E309" s="11">
        <f t="shared" si="44"/>
        <v>1034.0429991432115</v>
      </c>
      <c r="F309" s="11">
        <f t="shared" si="45"/>
        <v>81920.675559457712</v>
      </c>
      <c r="H309" s="129">
        <f>IF(Principal!$D$25="Anual",IF(MOD(B309+1,12)=0,$W$2*((1+$W$3)^M309),0),$W$2*((1+$W$3)^M309)/12)</f>
        <v>412.11294107141413</v>
      </c>
      <c r="I309" s="68">
        <f t="shared" si="39"/>
        <v>2177.2303901397977</v>
      </c>
      <c r="J309" s="43">
        <f>SUM($I$14:I309)</f>
        <v>632735.29797057004</v>
      </c>
      <c r="K309" s="11">
        <f t="shared" si="40"/>
        <v>0</v>
      </c>
      <c r="L309" s="5">
        <f t="shared" si="41"/>
        <v>1930.0584651397976</v>
      </c>
      <c r="M309" s="10">
        <f t="shared" si="42"/>
        <v>24</v>
      </c>
      <c r="N309" s="189"/>
      <c r="O309" s="130">
        <f>IF(Principal!$D$30="Anual",IF(MOD(B309+1,12)=0,VLOOKUP(M309,'Flujos Anuales'!$B$8:$K$39,9),0),VLOOKUP(M309,'Flujos Anuales'!$B$8:$K$39,9)/12)</f>
        <v>608.28214410411499</v>
      </c>
      <c r="P309" s="120">
        <f>VLOOKUP(M309,'Flujos Anuales'!$B$8:$K$39,10)/12</f>
        <v>44.123279036484064</v>
      </c>
      <c r="Q309" s="120">
        <f t="shared" si="43"/>
        <v>2582.4638882803965</v>
      </c>
    </row>
    <row r="310" spans="2:17" x14ac:dyDescent="0.35">
      <c r="B310" s="10">
        <v>296</v>
      </c>
      <c r="C310" s="11">
        <f t="shared" si="37"/>
        <v>1517.9455240683837</v>
      </c>
      <c r="D310" s="11">
        <f t="shared" si="38"/>
        <v>477.87060743017003</v>
      </c>
      <c r="E310" s="11">
        <f t="shared" si="44"/>
        <v>1040.0749166382138</v>
      </c>
      <c r="F310" s="11">
        <f t="shared" si="45"/>
        <v>80880.600642819496</v>
      </c>
      <c r="H310" s="129">
        <f>IF(Principal!$D$25="Anual",IF(MOD(B310+1,12)=0,$W$2*((1+$W$3)^M310),0),$W$2*((1+$W$3)^M310)/12)</f>
        <v>412.11294107141413</v>
      </c>
      <c r="I310" s="68">
        <f t="shared" si="39"/>
        <v>2177.2303901397977</v>
      </c>
      <c r="J310" s="43">
        <f>SUM($I$14:I310)</f>
        <v>634912.5283607099</v>
      </c>
      <c r="K310" s="11">
        <f t="shared" si="40"/>
        <v>0</v>
      </c>
      <c r="L310" s="5">
        <f t="shared" si="41"/>
        <v>1930.0584651397976</v>
      </c>
      <c r="M310" s="10">
        <f t="shared" si="42"/>
        <v>24</v>
      </c>
      <c r="N310" s="189"/>
      <c r="O310" s="130">
        <f>IF(Principal!$D$30="Anual",IF(MOD(B310+1,12)=0,VLOOKUP(M310,'Flujos Anuales'!$B$8:$K$39,9),0),VLOOKUP(M310,'Flujos Anuales'!$B$8:$K$39,9)/12)</f>
        <v>608.28214410411499</v>
      </c>
      <c r="P310" s="120">
        <f>VLOOKUP(M310,'Flujos Anuales'!$B$8:$K$39,10)/12</f>
        <v>44.123279036484064</v>
      </c>
      <c r="Q310" s="120">
        <f t="shared" si="43"/>
        <v>2582.4638882803965</v>
      </c>
    </row>
    <row r="311" spans="2:17" x14ac:dyDescent="0.35">
      <c r="B311" s="10">
        <v>297</v>
      </c>
      <c r="C311" s="11">
        <f t="shared" si="37"/>
        <v>1517.9455240683837</v>
      </c>
      <c r="D311" s="11">
        <f t="shared" si="38"/>
        <v>471.80350374978042</v>
      </c>
      <c r="E311" s="11">
        <f t="shared" si="44"/>
        <v>1046.1420203186033</v>
      </c>
      <c r="F311" s="11">
        <f t="shared" si="45"/>
        <v>79834.458622500897</v>
      </c>
      <c r="H311" s="129">
        <f>IF(Principal!$D$25="Anual",IF(MOD(B311+1,12)=0,$W$2*((1+$W$3)^M311),0),$W$2*((1+$W$3)^M311)/12)</f>
        <v>412.11294107141413</v>
      </c>
      <c r="I311" s="68">
        <f t="shared" si="39"/>
        <v>2177.2303901397977</v>
      </c>
      <c r="J311" s="43">
        <f>SUM($I$14:I311)</f>
        <v>637089.75875084975</v>
      </c>
      <c r="K311" s="11">
        <f t="shared" si="40"/>
        <v>0</v>
      </c>
      <c r="L311" s="5">
        <f t="shared" si="41"/>
        <v>1930.0584651397976</v>
      </c>
      <c r="M311" s="10">
        <f t="shared" si="42"/>
        <v>24</v>
      </c>
      <c r="N311" s="189"/>
      <c r="O311" s="130">
        <f>IF(Principal!$D$30="Anual",IF(MOD(B311+1,12)=0,VLOOKUP(M311,'Flujos Anuales'!$B$8:$K$39,9),0),VLOOKUP(M311,'Flujos Anuales'!$B$8:$K$39,9)/12)</f>
        <v>608.28214410411499</v>
      </c>
      <c r="P311" s="120">
        <f>VLOOKUP(M311,'Flujos Anuales'!$B$8:$K$39,10)/12</f>
        <v>44.123279036484064</v>
      </c>
      <c r="Q311" s="120">
        <f t="shared" si="43"/>
        <v>2582.4638882803965</v>
      </c>
    </row>
    <row r="312" spans="2:17" x14ac:dyDescent="0.35">
      <c r="B312" s="10">
        <v>298</v>
      </c>
      <c r="C312" s="11">
        <f t="shared" si="37"/>
        <v>1517.9455240683837</v>
      </c>
      <c r="D312" s="11">
        <f t="shared" si="38"/>
        <v>465.70100863125526</v>
      </c>
      <c r="E312" s="11">
        <f t="shared" si="44"/>
        <v>1052.2445154371285</v>
      </c>
      <c r="F312" s="11">
        <f t="shared" si="45"/>
        <v>78782.214107063774</v>
      </c>
      <c r="H312" s="129">
        <f>IF(Principal!$D$25="Anual",IF(MOD(B312+1,12)=0,$W$2*((1+$W$3)^M312),0),$W$2*((1+$W$3)^M312)/12)</f>
        <v>412.11294107141413</v>
      </c>
      <c r="I312" s="68">
        <f t="shared" si="39"/>
        <v>2177.2303901397977</v>
      </c>
      <c r="J312" s="43">
        <f>SUM($I$14:I312)</f>
        <v>639266.98914098961</v>
      </c>
      <c r="K312" s="11">
        <f t="shared" si="40"/>
        <v>0</v>
      </c>
      <c r="L312" s="5">
        <f t="shared" si="41"/>
        <v>1930.0584651397976</v>
      </c>
      <c r="M312" s="10">
        <f t="shared" si="42"/>
        <v>24</v>
      </c>
      <c r="N312" s="189"/>
      <c r="O312" s="130">
        <f>IF(Principal!$D$30="Anual",IF(MOD(B312+1,12)=0,VLOOKUP(M312,'Flujos Anuales'!$B$8:$K$39,9),0),VLOOKUP(M312,'Flujos Anuales'!$B$8:$K$39,9)/12)</f>
        <v>608.28214410411499</v>
      </c>
      <c r="P312" s="120">
        <f>VLOOKUP(M312,'Flujos Anuales'!$B$8:$K$39,10)/12</f>
        <v>44.123279036484064</v>
      </c>
      <c r="Q312" s="120">
        <f t="shared" si="43"/>
        <v>2582.4638882803965</v>
      </c>
    </row>
    <row r="313" spans="2:17" x14ac:dyDescent="0.35">
      <c r="B313" s="10">
        <v>299</v>
      </c>
      <c r="C313" s="11">
        <f t="shared" si="37"/>
        <v>1517.9455240683837</v>
      </c>
      <c r="D313" s="11">
        <f t="shared" si="38"/>
        <v>459.56291562453868</v>
      </c>
      <c r="E313" s="11">
        <f t="shared" si="44"/>
        <v>1058.3826084438451</v>
      </c>
      <c r="F313" s="11">
        <f t="shared" si="45"/>
        <v>77723.831498619926</v>
      </c>
      <c r="H313" s="129">
        <f>IF(Principal!$D$25="Anual",IF(MOD(B313+1,12)=0,$W$2*((1+$W$3)^M313),0),$W$2*((1+$W$3)^M313)/12)</f>
        <v>412.11294107141413</v>
      </c>
      <c r="I313" s="68">
        <f t="shared" si="39"/>
        <v>2177.2303901397977</v>
      </c>
      <c r="J313" s="43">
        <f>SUM($I$14:I313)</f>
        <v>641444.21953112946</v>
      </c>
      <c r="K313" s="11">
        <f t="shared" si="40"/>
        <v>0</v>
      </c>
      <c r="L313" s="5">
        <f t="shared" si="41"/>
        <v>1930.0584651397976</v>
      </c>
      <c r="M313" s="10">
        <f t="shared" si="42"/>
        <v>24</v>
      </c>
      <c r="N313" s="189"/>
      <c r="O313" s="130">
        <f>IF(Principal!$D$30="Anual",IF(MOD(B313+1,12)=0,VLOOKUP(M313,'Flujos Anuales'!$B$8:$K$39,9),0),VLOOKUP(M313,'Flujos Anuales'!$B$8:$K$39,9)/12)</f>
        <v>608.28214410411499</v>
      </c>
      <c r="P313" s="120">
        <f>VLOOKUP(M313,'Flujos Anuales'!$B$8:$K$39,10)/12</f>
        <v>44.123279036484064</v>
      </c>
      <c r="Q313" s="120">
        <f t="shared" si="43"/>
        <v>2582.4638882803965</v>
      </c>
    </row>
    <row r="314" spans="2:17" x14ac:dyDescent="0.35">
      <c r="B314" s="10">
        <v>300</v>
      </c>
      <c r="C314" s="11">
        <f t="shared" si="37"/>
        <v>1517.9455240683837</v>
      </c>
      <c r="D314" s="11">
        <f t="shared" si="38"/>
        <v>453.38901707528294</v>
      </c>
      <c r="E314" s="11">
        <f t="shared" si="44"/>
        <v>1064.5565069931008</v>
      </c>
      <c r="F314" s="11">
        <f t="shared" si="45"/>
        <v>76659.274991626822</v>
      </c>
      <c r="H314" s="129">
        <f>IF(Principal!$D$25="Anual",IF(MOD(B314+1,12)=0,$W$2*((1+$W$3)^M314),0),$W$2*((1+$W$3)^M314)/12)</f>
        <v>414.94336954023106</v>
      </c>
      <c r="I314" s="68">
        <f t="shared" si="39"/>
        <v>2180.0608186086147</v>
      </c>
      <c r="J314" s="43">
        <f>SUM($I$14:I314)</f>
        <v>643624.28034973808</v>
      </c>
      <c r="K314" s="11">
        <f t="shared" si="40"/>
        <v>0</v>
      </c>
      <c r="L314" s="5">
        <f t="shared" si="41"/>
        <v>1932.8888936086146</v>
      </c>
      <c r="M314" s="10">
        <f t="shared" si="42"/>
        <v>25</v>
      </c>
      <c r="N314" s="189">
        <f>SUM(L314:L325)</f>
        <v>23194.666723303377</v>
      </c>
      <c r="O314" s="130">
        <f>IF(Principal!$D$30="Anual",IF(MOD(B314+1,12)=0,VLOOKUP(M314,'Flujos Anuales'!$B$8:$K$39,9),0),VLOOKUP(M314,'Flujos Anuales'!$B$8:$K$39,9)/12)</f>
        <v>636.06534909850541</v>
      </c>
      <c r="P314" s="120">
        <f>VLOOKUP(M314,'Flujos Anuales'!$B$8:$K$39,10)/12</f>
        <v>44.564511826848907</v>
      </c>
      <c r="Q314" s="120">
        <f t="shared" si="43"/>
        <v>2613.5187545339691</v>
      </c>
    </row>
    <row r="315" spans="2:17" x14ac:dyDescent="0.35">
      <c r="B315" s="10">
        <v>301</v>
      </c>
      <c r="C315" s="11">
        <f t="shared" si="37"/>
        <v>1517.9455240683837</v>
      </c>
      <c r="D315" s="11">
        <f t="shared" si="38"/>
        <v>447.17910411782316</v>
      </c>
      <c r="E315" s="11">
        <f t="shared" si="44"/>
        <v>1070.7664199505607</v>
      </c>
      <c r="F315" s="11">
        <f t="shared" si="45"/>
        <v>75588.508571676255</v>
      </c>
      <c r="H315" s="129">
        <f>IF(Principal!$D$25="Anual",IF(MOD(B315+1,12)=0,$W$2*((1+$W$3)^M315),0),$W$2*((1+$W$3)^M315)/12)</f>
        <v>414.94336954023106</v>
      </c>
      <c r="I315" s="68">
        <f t="shared" si="39"/>
        <v>2180.0608186086147</v>
      </c>
      <c r="J315" s="43">
        <f>SUM($I$14:I315)</f>
        <v>645804.3411683467</v>
      </c>
      <c r="K315" s="11">
        <f t="shared" si="40"/>
        <v>0</v>
      </c>
      <c r="L315" s="5">
        <f t="shared" si="41"/>
        <v>1932.8888936086146</v>
      </c>
      <c r="M315" s="10">
        <f t="shared" si="42"/>
        <v>25</v>
      </c>
      <c r="N315" s="189"/>
      <c r="O315" s="130">
        <f>IF(Principal!$D$30="Anual",IF(MOD(B315+1,12)=0,VLOOKUP(M315,'Flujos Anuales'!$B$8:$K$39,9),0),VLOOKUP(M315,'Flujos Anuales'!$B$8:$K$39,9)/12)</f>
        <v>636.06534909850541</v>
      </c>
      <c r="P315" s="120">
        <f>VLOOKUP(M315,'Flujos Anuales'!$B$8:$K$39,10)/12</f>
        <v>44.564511826848907</v>
      </c>
      <c r="Q315" s="120">
        <f t="shared" si="43"/>
        <v>2613.5187545339691</v>
      </c>
    </row>
    <row r="316" spans="2:17" x14ac:dyDescent="0.35">
      <c r="B316" s="10">
        <v>302</v>
      </c>
      <c r="C316" s="11">
        <f t="shared" si="37"/>
        <v>1517.9455240683837</v>
      </c>
      <c r="D316" s="11">
        <f t="shared" si="38"/>
        <v>440.93296666811153</v>
      </c>
      <c r="E316" s="11">
        <f t="shared" si="44"/>
        <v>1077.0125574002723</v>
      </c>
      <c r="F316" s="11">
        <f t="shared" si="45"/>
        <v>74511.496014275981</v>
      </c>
      <c r="H316" s="129">
        <f>IF(Principal!$D$25="Anual",IF(MOD(B316+1,12)=0,$W$2*((1+$W$3)^M316),0),$W$2*((1+$W$3)^M316)/12)</f>
        <v>414.94336954023106</v>
      </c>
      <c r="I316" s="68">
        <f t="shared" si="39"/>
        <v>2180.0608186086147</v>
      </c>
      <c r="J316" s="43">
        <f>SUM($I$14:I316)</f>
        <v>647984.40198695532</v>
      </c>
      <c r="K316" s="11">
        <f t="shared" si="40"/>
        <v>0</v>
      </c>
      <c r="L316" s="5">
        <f t="shared" si="41"/>
        <v>1932.8888936086146</v>
      </c>
      <c r="M316" s="10">
        <f t="shared" si="42"/>
        <v>25</v>
      </c>
      <c r="N316" s="189"/>
      <c r="O316" s="130">
        <f>IF(Principal!$D$30="Anual",IF(MOD(B316+1,12)=0,VLOOKUP(M316,'Flujos Anuales'!$B$8:$K$39,9),0),VLOOKUP(M316,'Flujos Anuales'!$B$8:$K$39,9)/12)</f>
        <v>636.06534909850541</v>
      </c>
      <c r="P316" s="120">
        <f>VLOOKUP(M316,'Flujos Anuales'!$B$8:$K$39,10)/12</f>
        <v>44.564511826848907</v>
      </c>
      <c r="Q316" s="120">
        <f t="shared" si="43"/>
        <v>2613.5187545339691</v>
      </c>
    </row>
    <row r="317" spans="2:17" x14ac:dyDescent="0.35">
      <c r="B317" s="10">
        <v>303</v>
      </c>
      <c r="C317" s="11">
        <f t="shared" si="37"/>
        <v>1517.9455240683837</v>
      </c>
      <c r="D317" s="11">
        <f t="shared" si="38"/>
        <v>434.65039341660992</v>
      </c>
      <c r="E317" s="11">
        <f t="shared" si="44"/>
        <v>1083.2951306517739</v>
      </c>
      <c r="F317" s="11">
        <f t="shared" si="45"/>
        <v>73428.200883624202</v>
      </c>
      <c r="H317" s="129">
        <f>IF(Principal!$D$25="Anual",IF(MOD(B317+1,12)=0,$W$2*((1+$W$3)^M317),0),$W$2*((1+$W$3)^M317)/12)</f>
        <v>414.94336954023106</v>
      </c>
      <c r="I317" s="68">
        <f t="shared" si="39"/>
        <v>2180.0608186086147</v>
      </c>
      <c r="J317" s="43">
        <f>SUM($I$14:I317)</f>
        <v>650164.46280556393</v>
      </c>
      <c r="K317" s="11">
        <f t="shared" si="40"/>
        <v>0</v>
      </c>
      <c r="L317" s="5">
        <f t="shared" si="41"/>
        <v>1932.8888936086146</v>
      </c>
      <c r="M317" s="10">
        <f t="shared" si="42"/>
        <v>25</v>
      </c>
      <c r="N317" s="189"/>
      <c r="O317" s="130">
        <f>IF(Principal!$D$30="Anual",IF(MOD(B317+1,12)=0,VLOOKUP(M317,'Flujos Anuales'!$B$8:$K$39,9),0),VLOOKUP(M317,'Flujos Anuales'!$B$8:$K$39,9)/12)</f>
        <v>636.06534909850541</v>
      </c>
      <c r="P317" s="120">
        <f>VLOOKUP(M317,'Flujos Anuales'!$B$8:$K$39,10)/12</f>
        <v>44.564511826848907</v>
      </c>
      <c r="Q317" s="120">
        <f t="shared" si="43"/>
        <v>2613.5187545339691</v>
      </c>
    </row>
    <row r="318" spans="2:17" x14ac:dyDescent="0.35">
      <c r="B318" s="10">
        <v>304</v>
      </c>
      <c r="C318" s="11">
        <f t="shared" si="37"/>
        <v>1517.9455240683837</v>
      </c>
      <c r="D318" s="11">
        <f t="shared" si="38"/>
        <v>428.3311718211412</v>
      </c>
      <c r="E318" s="11">
        <f t="shared" si="44"/>
        <v>1089.6143522472426</v>
      </c>
      <c r="F318" s="11">
        <f t="shared" si="45"/>
        <v>72338.586531376961</v>
      </c>
      <c r="H318" s="129">
        <f>IF(Principal!$D$25="Anual",IF(MOD(B318+1,12)=0,$W$2*((1+$W$3)^M318),0),$W$2*((1+$W$3)^M318)/12)</f>
        <v>414.94336954023106</v>
      </c>
      <c r="I318" s="68">
        <f t="shared" si="39"/>
        <v>2180.0608186086147</v>
      </c>
      <c r="J318" s="43">
        <f>SUM($I$14:I318)</f>
        <v>652344.52362417255</v>
      </c>
      <c r="K318" s="11">
        <f t="shared" si="40"/>
        <v>0</v>
      </c>
      <c r="L318" s="5">
        <f t="shared" si="41"/>
        <v>1932.8888936086146</v>
      </c>
      <c r="M318" s="10">
        <f t="shared" si="42"/>
        <v>25</v>
      </c>
      <c r="N318" s="189"/>
      <c r="O318" s="130">
        <f>IF(Principal!$D$30="Anual",IF(MOD(B318+1,12)=0,VLOOKUP(M318,'Flujos Anuales'!$B$8:$K$39,9),0),VLOOKUP(M318,'Flujos Anuales'!$B$8:$K$39,9)/12)</f>
        <v>636.06534909850541</v>
      </c>
      <c r="P318" s="120">
        <f>VLOOKUP(M318,'Flujos Anuales'!$B$8:$K$39,10)/12</f>
        <v>44.564511826848907</v>
      </c>
      <c r="Q318" s="120">
        <f t="shared" si="43"/>
        <v>2613.5187545339691</v>
      </c>
    </row>
    <row r="319" spans="2:17" x14ac:dyDescent="0.35">
      <c r="B319" s="10">
        <v>305</v>
      </c>
      <c r="C319" s="11">
        <f t="shared" si="37"/>
        <v>1517.9455240683837</v>
      </c>
      <c r="D319" s="11">
        <f t="shared" si="38"/>
        <v>421.97508809969895</v>
      </c>
      <c r="E319" s="11">
        <f t="shared" si="44"/>
        <v>1095.9704359686848</v>
      </c>
      <c r="F319" s="11">
        <f t="shared" si="45"/>
        <v>71242.616095408273</v>
      </c>
      <c r="H319" s="129">
        <f>IF(Principal!$D$25="Anual",IF(MOD(B319+1,12)=0,$W$2*((1+$W$3)^M319),0),$W$2*((1+$W$3)^M319)/12)</f>
        <v>414.94336954023106</v>
      </c>
      <c r="I319" s="68">
        <f t="shared" si="39"/>
        <v>2180.0608186086147</v>
      </c>
      <c r="J319" s="43">
        <f>SUM($I$14:I319)</f>
        <v>654524.58444278117</v>
      </c>
      <c r="K319" s="11">
        <f t="shared" si="40"/>
        <v>0</v>
      </c>
      <c r="L319" s="5">
        <f t="shared" si="41"/>
        <v>1932.8888936086146</v>
      </c>
      <c r="M319" s="10">
        <f t="shared" si="42"/>
        <v>25</v>
      </c>
      <c r="N319" s="189"/>
      <c r="O319" s="130">
        <f>IF(Principal!$D$30="Anual",IF(MOD(B319+1,12)=0,VLOOKUP(M319,'Flujos Anuales'!$B$8:$K$39,9),0),VLOOKUP(M319,'Flujos Anuales'!$B$8:$K$39,9)/12)</f>
        <v>636.06534909850541</v>
      </c>
      <c r="P319" s="120">
        <f>VLOOKUP(M319,'Flujos Anuales'!$B$8:$K$39,10)/12</f>
        <v>44.564511826848907</v>
      </c>
      <c r="Q319" s="120">
        <f t="shared" si="43"/>
        <v>2613.5187545339691</v>
      </c>
    </row>
    <row r="320" spans="2:17" x14ac:dyDescent="0.35">
      <c r="B320" s="10">
        <v>306</v>
      </c>
      <c r="C320" s="11">
        <f t="shared" si="37"/>
        <v>1517.9455240683837</v>
      </c>
      <c r="D320" s="11">
        <f t="shared" si="38"/>
        <v>415.58192722321496</v>
      </c>
      <c r="E320" s="11">
        <f t="shared" si="44"/>
        <v>1102.3635968451688</v>
      </c>
      <c r="F320" s="11">
        <f t="shared" si="45"/>
        <v>70140.252498563103</v>
      </c>
      <c r="H320" s="129">
        <f>IF(Principal!$D$25="Anual",IF(MOD(B320+1,12)=0,$W$2*((1+$W$3)^M320),0),$W$2*((1+$W$3)^M320)/12)</f>
        <v>414.94336954023106</v>
      </c>
      <c r="I320" s="68">
        <f t="shared" si="39"/>
        <v>2180.0608186086147</v>
      </c>
      <c r="J320" s="43">
        <f>SUM($I$14:I320)</f>
        <v>656704.64526138979</v>
      </c>
      <c r="K320" s="11">
        <f t="shared" si="40"/>
        <v>0</v>
      </c>
      <c r="L320" s="5">
        <f t="shared" si="41"/>
        <v>1932.8888936086146</v>
      </c>
      <c r="M320" s="10">
        <f t="shared" si="42"/>
        <v>25</v>
      </c>
      <c r="N320" s="189"/>
      <c r="O320" s="130">
        <f>IF(Principal!$D$30="Anual",IF(MOD(B320+1,12)=0,VLOOKUP(M320,'Flujos Anuales'!$B$8:$K$39,9),0),VLOOKUP(M320,'Flujos Anuales'!$B$8:$K$39,9)/12)</f>
        <v>636.06534909850541</v>
      </c>
      <c r="P320" s="120">
        <f>VLOOKUP(M320,'Flujos Anuales'!$B$8:$K$39,10)/12</f>
        <v>44.564511826848907</v>
      </c>
      <c r="Q320" s="120">
        <f t="shared" si="43"/>
        <v>2613.5187545339691</v>
      </c>
    </row>
    <row r="321" spans="2:17" x14ac:dyDescent="0.35">
      <c r="B321" s="10">
        <v>307</v>
      </c>
      <c r="C321" s="11">
        <f t="shared" si="37"/>
        <v>1517.9455240683837</v>
      </c>
      <c r="D321" s="11">
        <f t="shared" si="38"/>
        <v>409.1514729082848</v>
      </c>
      <c r="E321" s="11">
        <f t="shared" si="44"/>
        <v>1108.7940511600989</v>
      </c>
      <c r="F321" s="11">
        <f t="shared" si="45"/>
        <v>69031.458447402998</v>
      </c>
      <c r="H321" s="129">
        <f>IF(Principal!$D$25="Anual",IF(MOD(B321+1,12)=0,$W$2*((1+$W$3)^M321),0),$W$2*((1+$W$3)^M321)/12)</f>
        <v>414.94336954023106</v>
      </c>
      <c r="I321" s="68">
        <f t="shared" si="39"/>
        <v>2180.0608186086147</v>
      </c>
      <c r="J321" s="43">
        <f>SUM($I$14:I321)</f>
        <v>658884.7060799984</v>
      </c>
      <c r="K321" s="11">
        <f t="shared" si="40"/>
        <v>0</v>
      </c>
      <c r="L321" s="5">
        <f t="shared" si="41"/>
        <v>1932.8888936086146</v>
      </c>
      <c r="M321" s="10">
        <f t="shared" si="42"/>
        <v>25</v>
      </c>
      <c r="N321" s="189"/>
      <c r="O321" s="130">
        <f>IF(Principal!$D$30="Anual",IF(MOD(B321+1,12)=0,VLOOKUP(M321,'Flujos Anuales'!$B$8:$K$39,9),0),VLOOKUP(M321,'Flujos Anuales'!$B$8:$K$39,9)/12)</f>
        <v>636.06534909850541</v>
      </c>
      <c r="P321" s="120">
        <f>VLOOKUP(M321,'Flujos Anuales'!$B$8:$K$39,10)/12</f>
        <v>44.564511826848907</v>
      </c>
      <c r="Q321" s="120">
        <f t="shared" si="43"/>
        <v>2613.5187545339691</v>
      </c>
    </row>
    <row r="322" spans="2:17" x14ac:dyDescent="0.35">
      <c r="B322" s="10">
        <v>308</v>
      </c>
      <c r="C322" s="11">
        <f t="shared" si="37"/>
        <v>1517.9455240683837</v>
      </c>
      <c r="D322" s="11">
        <f t="shared" si="38"/>
        <v>402.68350760985084</v>
      </c>
      <c r="E322" s="11">
        <f t="shared" si="44"/>
        <v>1115.2620164585328</v>
      </c>
      <c r="F322" s="11">
        <f t="shared" si="45"/>
        <v>67916.196430944459</v>
      </c>
      <c r="H322" s="129">
        <f>IF(Principal!$D$25="Anual",IF(MOD(B322+1,12)=0,$W$2*((1+$W$3)^M322),0),$W$2*((1+$W$3)^M322)/12)</f>
        <v>414.94336954023106</v>
      </c>
      <c r="I322" s="68">
        <f t="shared" si="39"/>
        <v>2180.0608186086147</v>
      </c>
      <c r="J322" s="43">
        <f>SUM($I$14:I322)</f>
        <v>661064.76689860702</v>
      </c>
      <c r="K322" s="11">
        <f t="shared" si="40"/>
        <v>0</v>
      </c>
      <c r="L322" s="5">
        <f t="shared" si="41"/>
        <v>1932.8888936086146</v>
      </c>
      <c r="M322" s="10">
        <f t="shared" si="42"/>
        <v>25</v>
      </c>
      <c r="N322" s="189"/>
      <c r="O322" s="130">
        <f>IF(Principal!$D$30="Anual",IF(MOD(B322+1,12)=0,VLOOKUP(M322,'Flujos Anuales'!$B$8:$K$39,9),0),VLOOKUP(M322,'Flujos Anuales'!$B$8:$K$39,9)/12)</f>
        <v>636.06534909850541</v>
      </c>
      <c r="P322" s="120">
        <f>VLOOKUP(M322,'Flujos Anuales'!$B$8:$K$39,10)/12</f>
        <v>44.564511826848907</v>
      </c>
      <c r="Q322" s="120">
        <f t="shared" si="43"/>
        <v>2613.5187545339691</v>
      </c>
    </row>
    <row r="323" spans="2:17" x14ac:dyDescent="0.35">
      <c r="B323" s="10">
        <v>309</v>
      </c>
      <c r="C323" s="11">
        <f t="shared" si="37"/>
        <v>1517.9455240683837</v>
      </c>
      <c r="D323" s="11">
        <f t="shared" si="38"/>
        <v>396.1778125138427</v>
      </c>
      <c r="E323" s="11">
        <f t="shared" si="44"/>
        <v>1121.7677115545412</v>
      </c>
      <c r="F323" s="11">
        <f t="shared" si="45"/>
        <v>66794.428719389922</v>
      </c>
      <c r="H323" s="129">
        <f>IF(Principal!$D$25="Anual",IF(MOD(B323+1,12)=0,$W$2*((1+$W$3)^M323),0),$W$2*((1+$W$3)^M323)/12)</f>
        <v>414.94336954023106</v>
      </c>
      <c r="I323" s="68">
        <f t="shared" si="39"/>
        <v>2180.0608186086147</v>
      </c>
      <c r="J323" s="43">
        <f>SUM($I$14:I323)</f>
        <v>663244.82771721564</v>
      </c>
      <c r="K323" s="11">
        <f t="shared" si="40"/>
        <v>0</v>
      </c>
      <c r="L323" s="5">
        <f t="shared" si="41"/>
        <v>1932.8888936086146</v>
      </c>
      <c r="M323" s="10">
        <f t="shared" si="42"/>
        <v>25</v>
      </c>
      <c r="N323" s="189"/>
      <c r="O323" s="130">
        <f>IF(Principal!$D$30="Anual",IF(MOD(B323+1,12)=0,VLOOKUP(M323,'Flujos Anuales'!$B$8:$K$39,9),0),VLOOKUP(M323,'Flujos Anuales'!$B$8:$K$39,9)/12)</f>
        <v>636.06534909850541</v>
      </c>
      <c r="P323" s="120">
        <f>VLOOKUP(M323,'Flujos Anuales'!$B$8:$K$39,10)/12</f>
        <v>44.564511826848907</v>
      </c>
      <c r="Q323" s="120">
        <f t="shared" si="43"/>
        <v>2613.5187545339691</v>
      </c>
    </row>
    <row r="324" spans="2:17" x14ac:dyDescent="0.35">
      <c r="B324" s="10">
        <v>310</v>
      </c>
      <c r="C324" s="11">
        <f t="shared" si="37"/>
        <v>1517.9455240683837</v>
      </c>
      <c r="D324" s="11">
        <f t="shared" si="38"/>
        <v>389.63416752977457</v>
      </c>
      <c r="E324" s="11">
        <f t="shared" si="44"/>
        <v>1128.3113565386093</v>
      </c>
      <c r="F324" s="11">
        <f t="shared" si="45"/>
        <v>65666.117362851306</v>
      </c>
      <c r="H324" s="129">
        <f>IF(Principal!$D$25="Anual",IF(MOD(B324+1,12)=0,$W$2*((1+$W$3)^M324),0),$W$2*((1+$W$3)^M324)/12)</f>
        <v>414.94336954023106</v>
      </c>
      <c r="I324" s="68">
        <f t="shared" si="39"/>
        <v>2180.0608186086147</v>
      </c>
      <c r="J324" s="43">
        <f>SUM($I$14:I324)</f>
        <v>665424.88853582426</v>
      </c>
      <c r="K324" s="11">
        <f t="shared" si="40"/>
        <v>0</v>
      </c>
      <c r="L324" s="5">
        <f t="shared" si="41"/>
        <v>1932.8888936086146</v>
      </c>
      <c r="M324" s="10">
        <f t="shared" si="42"/>
        <v>25</v>
      </c>
      <c r="N324" s="189"/>
      <c r="O324" s="130">
        <f>IF(Principal!$D$30="Anual",IF(MOD(B324+1,12)=0,VLOOKUP(M324,'Flujos Anuales'!$B$8:$K$39,9),0),VLOOKUP(M324,'Flujos Anuales'!$B$8:$K$39,9)/12)</f>
        <v>636.06534909850541</v>
      </c>
      <c r="P324" s="120">
        <f>VLOOKUP(M324,'Flujos Anuales'!$B$8:$K$39,10)/12</f>
        <v>44.564511826848907</v>
      </c>
      <c r="Q324" s="120">
        <f t="shared" si="43"/>
        <v>2613.5187545339691</v>
      </c>
    </row>
    <row r="325" spans="2:17" x14ac:dyDescent="0.35">
      <c r="B325" s="10">
        <v>311</v>
      </c>
      <c r="C325" s="11">
        <f t="shared" si="37"/>
        <v>1517.9455240683837</v>
      </c>
      <c r="D325" s="11">
        <f t="shared" si="38"/>
        <v>383.05235128329929</v>
      </c>
      <c r="E325" s="11">
        <f t="shared" si="44"/>
        <v>1134.8931727850845</v>
      </c>
      <c r="F325" s="11">
        <f t="shared" si="45"/>
        <v>64531.224190066219</v>
      </c>
      <c r="H325" s="129">
        <f>IF(Principal!$D$25="Anual",IF(MOD(B325+1,12)=0,$W$2*((1+$W$3)^M325),0),$W$2*((1+$W$3)^M325)/12)</f>
        <v>414.94336954023106</v>
      </c>
      <c r="I325" s="68">
        <f t="shared" si="39"/>
        <v>2180.0608186086147</v>
      </c>
      <c r="J325" s="43">
        <f>SUM($I$14:I325)</f>
        <v>667604.94935443287</v>
      </c>
      <c r="K325" s="11">
        <f t="shared" si="40"/>
        <v>0</v>
      </c>
      <c r="L325" s="5">
        <f t="shared" si="41"/>
        <v>1932.8888936086146</v>
      </c>
      <c r="M325" s="10">
        <f t="shared" si="42"/>
        <v>25</v>
      </c>
      <c r="N325" s="189"/>
      <c r="O325" s="130">
        <f>IF(Principal!$D$30="Anual",IF(MOD(B325+1,12)=0,VLOOKUP(M325,'Flujos Anuales'!$B$8:$K$39,9),0),VLOOKUP(M325,'Flujos Anuales'!$B$8:$K$39,9)/12)</f>
        <v>636.06534909850541</v>
      </c>
      <c r="P325" s="120">
        <f>VLOOKUP(M325,'Flujos Anuales'!$B$8:$K$39,10)/12</f>
        <v>44.564511826848907</v>
      </c>
      <c r="Q325" s="120">
        <f t="shared" si="43"/>
        <v>2613.5187545339691</v>
      </c>
    </row>
    <row r="326" spans="2:17" x14ac:dyDescent="0.35">
      <c r="B326" s="10">
        <v>312</v>
      </c>
      <c r="C326" s="11">
        <f t="shared" si="37"/>
        <v>1517.9455240683837</v>
      </c>
      <c r="D326" s="11">
        <f t="shared" si="38"/>
        <v>376.43214110871963</v>
      </c>
      <c r="E326" s="11">
        <f t="shared" si="44"/>
        <v>1141.5133829596641</v>
      </c>
      <c r="F326" s="11">
        <f t="shared" si="45"/>
        <v>63389.710807106552</v>
      </c>
      <c r="H326" s="129">
        <f>IF(Principal!$D$25="Anual",IF(MOD(B326+1,12)=0,$W$2*((1+$W$3)^M326),0),$W$2*((1+$W$3)^M326)/12)</f>
        <v>417.79323764444558</v>
      </c>
      <c r="I326" s="68">
        <f t="shared" si="39"/>
        <v>2182.9106867128294</v>
      </c>
      <c r="J326" s="43">
        <f>SUM($I$14:I326)</f>
        <v>669787.8600411457</v>
      </c>
      <c r="K326" s="11">
        <f t="shared" si="40"/>
        <v>0</v>
      </c>
      <c r="L326" s="5">
        <f t="shared" si="41"/>
        <v>1935.7387617128293</v>
      </c>
      <c r="M326" s="10">
        <f t="shared" si="42"/>
        <v>26</v>
      </c>
      <c r="N326" s="189">
        <f>SUM(L326:L337)</f>
        <v>23228.865140553953</v>
      </c>
      <c r="O326" s="130">
        <f>IF(Principal!$D$30="Anual",IF(MOD(B326+1,12)=0,VLOOKUP(M326,'Flujos Anuales'!$B$8:$K$39,9),0),VLOOKUP(M326,'Flujos Anuales'!$B$8:$K$39,9)/12)</f>
        <v>665.11754823852755</v>
      </c>
      <c r="P326" s="120">
        <f>VLOOKUP(M326,'Flujos Anuales'!$B$8:$K$39,10)/12</f>
        <v>45.010156945117394</v>
      </c>
      <c r="Q326" s="120">
        <f t="shared" si="43"/>
        <v>2645.8664668964743</v>
      </c>
    </row>
    <row r="327" spans="2:17" x14ac:dyDescent="0.35">
      <c r="B327" s="10">
        <v>313</v>
      </c>
      <c r="C327" s="11">
        <f t="shared" si="37"/>
        <v>1517.9455240683837</v>
      </c>
      <c r="D327" s="11">
        <f t="shared" si="38"/>
        <v>369.77331304145491</v>
      </c>
      <c r="E327" s="11">
        <f t="shared" si="44"/>
        <v>1148.1722110269288</v>
      </c>
      <c r="F327" s="11">
        <f t="shared" si="45"/>
        <v>62241.538596079627</v>
      </c>
      <c r="H327" s="129">
        <f>IF(Principal!$D$25="Anual",IF(MOD(B327+1,12)=0,$W$2*((1+$W$3)^M327),0),$W$2*((1+$W$3)^M327)/12)</f>
        <v>417.79323764444558</v>
      </c>
      <c r="I327" s="68">
        <f t="shared" si="39"/>
        <v>2182.9106867128294</v>
      </c>
      <c r="J327" s="43">
        <f>SUM($I$14:I327)</f>
        <v>671970.77072785853</v>
      </c>
      <c r="K327" s="11">
        <f t="shared" si="40"/>
        <v>0</v>
      </c>
      <c r="L327" s="5">
        <f t="shared" si="41"/>
        <v>1935.7387617128293</v>
      </c>
      <c r="M327" s="10">
        <f t="shared" si="42"/>
        <v>26</v>
      </c>
      <c r="N327" s="189"/>
      <c r="O327" s="130">
        <f>IF(Principal!$D$30="Anual",IF(MOD(B327+1,12)=0,VLOOKUP(M327,'Flujos Anuales'!$B$8:$K$39,9),0),VLOOKUP(M327,'Flujos Anuales'!$B$8:$K$39,9)/12)</f>
        <v>665.11754823852755</v>
      </c>
      <c r="P327" s="120">
        <f>VLOOKUP(M327,'Flujos Anuales'!$B$8:$K$39,10)/12</f>
        <v>45.010156945117394</v>
      </c>
      <c r="Q327" s="120">
        <f t="shared" si="43"/>
        <v>2645.8664668964743</v>
      </c>
    </row>
    <row r="328" spans="2:17" x14ac:dyDescent="0.35">
      <c r="B328" s="10">
        <v>314</v>
      </c>
      <c r="C328" s="11">
        <f t="shared" si="37"/>
        <v>1517.9455240683837</v>
      </c>
      <c r="D328" s="11">
        <f t="shared" si="38"/>
        <v>363.0756418104645</v>
      </c>
      <c r="E328" s="11">
        <f t="shared" si="44"/>
        <v>1154.8698822579192</v>
      </c>
      <c r="F328" s="11">
        <f t="shared" si="45"/>
        <v>61086.668713821709</v>
      </c>
      <c r="H328" s="129">
        <f>IF(Principal!$D$25="Anual",IF(MOD(B328+1,12)=0,$W$2*((1+$W$3)^M328),0),$W$2*((1+$W$3)^M328)/12)</f>
        <v>417.79323764444558</v>
      </c>
      <c r="I328" s="68">
        <f t="shared" si="39"/>
        <v>2182.9106867128294</v>
      </c>
      <c r="J328" s="43">
        <f>SUM($I$14:I328)</f>
        <v>674153.68141457136</v>
      </c>
      <c r="K328" s="11">
        <f t="shared" si="40"/>
        <v>0</v>
      </c>
      <c r="L328" s="5">
        <f t="shared" si="41"/>
        <v>1935.7387617128293</v>
      </c>
      <c r="M328" s="10">
        <f t="shared" si="42"/>
        <v>26</v>
      </c>
      <c r="N328" s="189"/>
      <c r="O328" s="130">
        <f>IF(Principal!$D$30="Anual",IF(MOD(B328+1,12)=0,VLOOKUP(M328,'Flujos Anuales'!$B$8:$K$39,9),0),VLOOKUP(M328,'Flujos Anuales'!$B$8:$K$39,9)/12)</f>
        <v>665.11754823852755</v>
      </c>
      <c r="P328" s="120">
        <f>VLOOKUP(M328,'Flujos Anuales'!$B$8:$K$39,10)/12</f>
        <v>45.010156945117394</v>
      </c>
      <c r="Q328" s="120">
        <f t="shared" si="43"/>
        <v>2645.8664668964743</v>
      </c>
    </row>
    <row r="329" spans="2:17" x14ac:dyDescent="0.35">
      <c r="B329" s="10">
        <v>315</v>
      </c>
      <c r="C329" s="11">
        <f t="shared" si="37"/>
        <v>1517.9455240683837</v>
      </c>
      <c r="D329" s="11">
        <f t="shared" si="38"/>
        <v>356.33890083062664</v>
      </c>
      <c r="E329" s="11">
        <f t="shared" si="44"/>
        <v>1161.606623237757</v>
      </c>
      <c r="F329" s="11">
        <f t="shared" si="45"/>
        <v>59925.062090583953</v>
      </c>
      <c r="H329" s="129">
        <f>IF(Principal!$D$25="Anual",IF(MOD(B329+1,12)=0,$W$2*((1+$W$3)^M329),0),$W$2*((1+$W$3)^M329)/12)</f>
        <v>417.79323764444558</v>
      </c>
      <c r="I329" s="68">
        <f t="shared" si="39"/>
        <v>2182.9106867128294</v>
      </c>
      <c r="J329" s="43">
        <f>SUM($I$14:I329)</f>
        <v>676336.59210128419</v>
      </c>
      <c r="K329" s="11">
        <f t="shared" si="40"/>
        <v>0</v>
      </c>
      <c r="L329" s="5">
        <f t="shared" si="41"/>
        <v>1935.7387617128293</v>
      </c>
      <c r="M329" s="10">
        <f t="shared" si="42"/>
        <v>26</v>
      </c>
      <c r="N329" s="189"/>
      <c r="O329" s="130">
        <f>IF(Principal!$D$30="Anual",IF(MOD(B329+1,12)=0,VLOOKUP(M329,'Flujos Anuales'!$B$8:$K$39,9),0),VLOOKUP(M329,'Flujos Anuales'!$B$8:$K$39,9)/12)</f>
        <v>665.11754823852755</v>
      </c>
      <c r="P329" s="120">
        <f>VLOOKUP(M329,'Flujos Anuales'!$B$8:$K$39,10)/12</f>
        <v>45.010156945117394</v>
      </c>
      <c r="Q329" s="120">
        <f t="shared" si="43"/>
        <v>2645.8664668964743</v>
      </c>
    </row>
    <row r="330" spans="2:17" x14ac:dyDescent="0.35">
      <c r="B330" s="10">
        <v>316</v>
      </c>
      <c r="C330" s="11">
        <f t="shared" si="37"/>
        <v>1517.9455240683837</v>
      </c>
      <c r="D330" s="11">
        <f t="shared" si="38"/>
        <v>349.56286219507308</v>
      </c>
      <c r="E330" s="11">
        <f t="shared" si="44"/>
        <v>1168.3826618733106</v>
      </c>
      <c r="F330" s="11">
        <f t="shared" si="45"/>
        <v>58756.679428710646</v>
      </c>
      <c r="H330" s="129">
        <f>IF(Principal!$D$25="Anual",IF(MOD(B330+1,12)=0,$W$2*((1+$W$3)^M330),0),$W$2*((1+$W$3)^M330)/12)</f>
        <v>417.79323764444558</v>
      </c>
      <c r="I330" s="68">
        <f t="shared" si="39"/>
        <v>2182.9106867128294</v>
      </c>
      <c r="J330" s="43">
        <f>SUM($I$14:I330)</f>
        <v>678519.50278799701</v>
      </c>
      <c r="K330" s="11">
        <f t="shared" si="40"/>
        <v>0</v>
      </c>
      <c r="L330" s="5">
        <f t="shared" si="41"/>
        <v>1935.7387617128293</v>
      </c>
      <c r="M330" s="10">
        <f t="shared" si="42"/>
        <v>26</v>
      </c>
      <c r="N330" s="189"/>
      <c r="O330" s="130">
        <f>IF(Principal!$D$30="Anual",IF(MOD(B330+1,12)=0,VLOOKUP(M330,'Flujos Anuales'!$B$8:$K$39,9),0),VLOOKUP(M330,'Flujos Anuales'!$B$8:$K$39,9)/12)</f>
        <v>665.11754823852755</v>
      </c>
      <c r="P330" s="120">
        <f>VLOOKUP(M330,'Flujos Anuales'!$B$8:$K$39,10)/12</f>
        <v>45.010156945117394</v>
      </c>
      <c r="Q330" s="120">
        <f t="shared" si="43"/>
        <v>2645.8664668964743</v>
      </c>
    </row>
    <row r="331" spans="2:17" x14ac:dyDescent="0.35">
      <c r="B331" s="10">
        <v>317</v>
      </c>
      <c r="C331" s="11">
        <f t="shared" si="37"/>
        <v>1517.9455240683837</v>
      </c>
      <c r="D331" s="11">
        <f t="shared" si="38"/>
        <v>342.74729666747879</v>
      </c>
      <c r="E331" s="11">
        <f t="shared" si="44"/>
        <v>1175.1982274009049</v>
      </c>
      <c r="F331" s="11">
        <f t="shared" si="45"/>
        <v>57581.48120130974</v>
      </c>
      <c r="H331" s="129">
        <f>IF(Principal!$D$25="Anual",IF(MOD(B331+1,12)=0,$W$2*((1+$W$3)^M331),0),$W$2*((1+$W$3)^M331)/12)</f>
        <v>417.79323764444558</v>
      </c>
      <c r="I331" s="68">
        <f t="shared" si="39"/>
        <v>2182.9106867128294</v>
      </c>
      <c r="J331" s="43">
        <f>SUM($I$14:I331)</f>
        <v>680702.41347470984</v>
      </c>
      <c r="K331" s="11">
        <f t="shared" si="40"/>
        <v>0</v>
      </c>
      <c r="L331" s="5">
        <f t="shared" si="41"/>
        <v>1935.7387617128293</v>
      </c>
      <c r="M331" s="10">
        <f t="shared" si="42"/>
        <v>26</v>
      </c>
      <c r="N331" s="189"/>
      <c r="O331" s="130">
        <f>IF(Principal!$D$30="Anual",IF(MOD(B331+1,12)=0,VLOOKUP(M331,'Flujos Anuales'!$B$8:$K$39,9),0),VLOOKUP(M331,'Flujos Anuales'!$B$8:$K$39,9)/12)</f>
        <v>665.11754823852755</v>
      </c>
      <c r="P331" s="120">
        <f>VLOOKUP(M331,'Flujos Anuales'!$B$8:$K$39,10)/12</f>
        <v>45.010156945117394</v>
      </c>
      <c r="Q331" s="120">
        <f t="shared" si="43"/>
        <v>2645.8664668964743</v>
      </c>
    </row>
    <row r="332" spans="2:17" x14ac:dyDescent="0.35">
      <c r="B332" s="10">
        <v>318</v>
      </c>
      <c r="C332" s="11">
        <f t="shared" si="37"/>
        <v>1517.9455240683837</v>
      </c>
      <c r="D332" s="11">
        <f t="shared" si="38"/>
        <v>335.89197367430683</v>
      </c>
      <c r="E332" s="11">
        <f t="shared" si="44"/>
        <v>1182.0535503940769</v>
      </c>
      <c r="F332" s="11">
        <f t="shared" si="45"/>
        <v>56399.427650915663</v>
      </c>
      <c r="H332" s="129">
        <f>IF(Principal!$D$25="Anual",IF(MOD(B332+1,12)=0,$W$2*((1+$W$3)^M332),0),$W$2*((1+$W$3)^M332)/12)</f>
        <v>417.79323764444558</v>
      </c>
      <c r="I332" s="68">
        <f t="shared" si="39"/>
        <v>2182.9106867128294</v>
      </c>
      <c r="J332" s="43">
        <f>SUM($I$14:I332)</f>
        <v>682885.32416142267</v>
      </c>
      <c r="K332" s="11">
        <f t="shared" si="40"/>
        <v>0</v>
      </c>
      <c r="L332" s="5">
        <f t="shared" si="41"/>
        <v>1935.7387617128293</v>
      </c>
      <c r="M332" s="10">
        <f t="shared" si="42"/>
        <v>26</v>
      </c>
      <c r="N332" s="189"/>
      <c r="O332" s="130">
        <f>IF(Principal!$D$30="Anual",IF(MOD(B332+1,12)=0,VLOOKUP(M332,'Flujos Anuales'!$B$8:$K$39,9),0),VLOOKUP(M332,'Flujos Anuales'!$B$8:$K$39,9)/12)</f>
        <v>665.11754823852755</v>
      </c>
      <c r="P332" s="120">
        <f>VLOOKUP(M332,'Flujos Anuales'!$B$8:$K$39,10)/12</f>
        <v>45.010156945117394</v>
      </c>
      <c r="Q332" s="120">
        <f t="shared" si="43"/>
        <v>2645.8664668964743</v>
      </c>
    </row>
    <row r="333" spans="2:17" x14ac:dyDescent="0.35">
      <c r="B333" s="10">
        <v>319</v>
      </c>
      <c r="C333" s="11">
        <f t="shared" si="37"/>
        <v>1517.9455240683837</v>
      </c>
      <c r="D333" s="11">
        <f t="shared" si="38"/>
        <v>328.99666129700807</v>
      </c>
      <c r="E333" s="11">
        <f t="shared" si="44"/>
        <v>1188.9488627713756</v>
      </c>
      <c r="F333" s="11">
        <f t="shared" si="45"/>
        <v>55210.47878814429</v>
      </c>
      <c r="H333" s="129">
        <f>IF(Principal!$D$25="Anual",IF(MOD(B333+1,12)=0,$W$2*((1+$W$3)^M333),0),$W$2*((1+$W$3)^M333)/12)</f>
        <v>417.79323764444558</v>
      </c>
      <c r="I333" s="68">
        <f t="shared" si="39"/>
        <v>2182.9106867128294</v>
      </c>
      <c r="J333" s="43">
        <f>SUM($I$14:I333)</f>
        <v>685068.2348481355</v>
      </c>
      <c r="K333" s="11">
        <f t="shared" si="40"/>
        <v>0</v>
      </c>
      <c r="L333" s="5">
        <f t="shared" si="41"/>
        <v>1935.7387617128293</v>
      </c>
      <c r="M333" s="10">
        <f t="shared" si="42"/>
        <v>26</v>
      </c>
      <c r="N333" s="189"/>
      <c r="O333" s="130">
        <f>IF(Principal!$D$30="Anual",IF(MOD(B333+1,12)=0,VLOOKUP(M333,'Flujos Anuales'!$B$8:$K$39,9),0),VLOOKUP(M333,'Flujos Anuales'!$B$8:$K$39,9)/12)</f>
        <v>665.11754823852755</v>
      </c>
      <c r="P333" s="120">
        <f>VLOOKUP(M333,'Flujos Anuales'!$B$8:$K$39,10)/12</f>
        <v>45.010156945117394</v>
      </c>
      <c r="Q333" s="120">
        <f t="shared" si="43"/>
        <v>2645.8664668964743</v>
      </c>
    </row>
    <row r="334" spans="2:17" x14ac:dyDescent="0.35">
      <c r="B334" s="10">
        <v>320</v>
      </c>
      <c r="C334" s="11">
        <f t="shared" si="37"/>
        <v>1517.9455240683837</v>
      </c>
      <c r="D334" s="11">
        <f t="shared" si="38"/>
        <v>322.06112626417502</v>
      </c>
      <c r="E334" s="11">
        <f t="shared" si="44"/>
        <v>1195.8843978042087</v>
      </c>
      <c r="F334" s="11">
        <f t="shared" si="45"/>
        <v>54014.594390340084</v>
      </c>
      <c r="H334" s="129">
        <f>IF(Principal!$D$25="Anual",IF(MOD(B334+1,12)=0,$W$2*((1+$W$3)^M334),0),$W$2*((1+$W$3)^M334)/12)</f>
        <v>417.79323764444558</v>
      </c>
      <c r="I334" s="68">
        <f t="shared" si="39"/>
        <v>2182.9106867128294</v>
      </c>
      <c r="J334" s="43">
        <f>SUM($I$14:I334)</f>
        <v>687251.14553484833</v>
      </c>
      <c r="K334" s="11">
        <f t="shared" si="40"/>
        <v>0</v>
      </c>
      <c r="L334" s="5">
        <f t="shared" si="41"/>
        <v>1935.7387617128293</v>
      </c>
      <c r="M334" s="10">
        <f t="shared" si="42"/>
        <v>26</v>
      </c>
      <c r="N334" s="189"/>
      <c r="O334" s="130">
        <f>IF(Principal!$D$30="Anual",IF(MOD(B334+1,12)=0,VLOOKUP(M334,'Flujos Anuales'!$B$8:$K$39,9),0),VLOOKUP(M334,'Flujos Anuales'!$B$8:$K$39,9)/12)</f>
        <v>665.11754823852755</v>
      </c>
      <c r="P334" s="120">
        <f>VLOOKUP(M334,'Flujos Anuales'!$B$8:$K$39,10)/12</f>
        <v>45.010156945117394</v>
      </c>
      <c r="Q334" s="120">
        <f t="shared" si="43"/>
        <v>2645.8664668964743</v>
      </c>
    </row>
    <row r="335" spans="2:17" x14ac:dyDescent="0.35">
      <c r="B335" s="10">
        <v>321</v>
      </c>
      <c r="C335" s="11">
        <f t="shared" ref="C335:C374" si="46">$T$9</f>
        <v>1517.9455240683837</v>
      </c>
      <c r="D335" s="11">
        <f t="shared" ref="D335:D374" si="47">F334*$T$4</f>
        <v>315.08513394365048</v>
      </c>
      <c r="E335" s="11">
        <f t="shared" si="44"/>
        <v>1202.8603901247334</v>
      </c>
      <c r="F335" s="11">
        <f t="shared" si="45"/>
        <v>52811.734000215351</v>
      </c>
      <c r="H335" s="129">
        <f>IF(Principal!$D$25="Anual",IF(MOD(B335+1,12)=0,$W$2*((1+$W$3)^M335),0),$W$2*((1+$W$3)^M335)/12)</f>
        <v>417.79323764444558</v>
      </c>
      <c r="I335" s="68">
        <f t="shared" ref="I335:I374" si="48">C335+H335+$W$5</f>
        <v>2182.9106867128294</v>
      </c>
      <c r="J335" s="43">
        <f>SUM($I$14:I335)</f>
        <v>689434.05622156116</v>
      </c>
      <c r="K335" s="11">
        <f t="shared" ref="K335:K374" si="49">IF(J335&gt;=$W$6,0,$W$5)</f>
        <v>0</v>
      </c>
      <c r="L335" s="5">
        <f t="shared" ref="L335:L374" si="50">IF(K335=$W$5,I335,I335-$W$5)</f>
        <v>1935.7387617128293</v>
      </c>
      <c r="M335" s="10">
        <f t="shared" ref="M335:M374" si="51">ROUNDDOWN(B335/12,0)</f>
        <v>26</v>
      </c>
      <c r="N335" s="189"/>
      <c r="O335" s="130">
        <f>IF(Principal!$D$30="Anual",IF(MOD(B335+1,12)=0,VLOOKUP(M335,'Flujos Anuales'!$B$8:$K$39,9),0),VLOOKUP(M335,'Flujos Anuales'!$B$8:$K$39,9)/12)</f>
        <v>665.11754823852755</v>
      </c>
      <c r="P335" s="120">
        <f>VLOOKUP(M335,'Flujos Anuales'!$B$8:$K$39,10)/12</f>
        <v>45.010156945117394</v>
      </c>
      <c r="Q335" s="120">
        <f t="shared" ref="Q335:Q374" si="52">L335+O335+P335</f>
        <v>2645.8664668964743</v>
      </c>
    </row>
    <row r="336" spans="2:17" x14ac:dyDescent="0.35">
      <c r="B336" s="10">
        <v>322</v>
      </c>
      <c r="C336" s="11">
        <f t="shared" si="46"/>
        <v>1517.9455240683837</v>
      </c>
      <c r="D336" s="11">
        <f t="shared" si="47"/>
        <v>308.06844833458956</v>
      </c>
      <c r="E336" s="11">
        <f t="shared" ref="E336:E374" si="53">C336-D336</f>
        <v>1209.8770757337943</v>
      </c>
      <c r="F336" s="11">
        <f t="shared" ref="F336:F374" si="54">F335-E336</f>
        <v>51601.856924481559</v>
      </c>
      <c r="H336" s="129">
        <f>IF(Principal!$D$25="Anual",IF(MOD(B336+1,12)=0,$W$2*((1+$W$3)^M336),0),$W$2*((1+$W$3)^M336)/12)</f>
        <v>417.79323764444558</v>
      </c>
      <c r="I336" s="68">
        <f t="shared" si="48"/>
        <v>2182.9106867128294</v>
      </c>
      <c r="J336" s="43">
        <f>SUM($I$14:I336)</f>
        <v>691616.96690827399</v>
      </c>
      <c r="K336" s="11">
        <f t="shared" si="49"/>
        <v>0</v>
      </c>
      <c r="L336" s="5">
        <f t="shared" si="50"/>
        <v>1935.7387617128293</v>
      </c>
      <c r="M336" s="10">
        <f t="shared" si="51"/>
        <v>26</v>
      </c>
      <c r="N336" s="189"/>
      <c r="O336" s="130">
        <f>IF(Principal!$D$30="Anual",IF(MOD(B336+1,12)=0,VLOOKUP(M336,'Flujos Anuales'!$B$8:$K$39,9),0),VLOOKUP(M336,'Flujos Anuales'!$B$8:$K$39,9)/12)</f>
        <v>665.11754823852755</v>
      </c>
      <c r="P336" s="120">
        <f>VLOOKUP(M336,'Flujos Anuales'!$B$8:$K$39,10)/12</f>
        <v>45.010156945117394</v>
      </c>
      <c r="Q336" s="120">
        <f t="shared" si="52"/>
        <v>2645.8664668964743</v>
      </c>
    </row>
    <row r="337" spans="2:17" x14ac:dyDescent="0.35">
      <c r="B337" s="10">
        <v>323</v>
      </c>
      <c r="C337" s="11">
        <f t="shared" si="46"/>
        <v>1517.9455240683837</v>
      </c>
      <c r="D337" s="11">
        <f t="shared" si="47"/>
        <v>301.01083205947577</v>
      </c>
      <c r="E337" s="11">
        <f t="shared" si="53"/>
        <v>1216.9346920089079</v>
      </c>
      <c r="F337" s="11">
        <f t="shared" si="54"/>
        <v>50384.922232472651</v>
      </c>
      <c r="H337" s="129">
        <f>IF(Principal!$D$25="Anual",IF(MOD(B337+1,12)=0,$W$2*((1+$W$3)^M337),0),$W$2*((1+$W$3)^M337)/12)</f>
        <v>417.79323764444558</v>
      </c>
      <c r="I337" s="68">
        <f t="shared" si="48"/>
        <v>2182.9106867128294</v>
      </c>
      <c r="J337" s="43">
        <f>SUM($I$14:I337)</f>
        <v>693799.87759498681</v>
      </c>
      <c r="K337" s="11">
        <f t="shared" si="49"/>
        <v>0</v>
      </c>
      <c r="L337" s="5">
        <f t="shared" si="50"/>
        <v>1935.7387617128293</v>
      </c>
      <c r="M337" s="10">
        <f t="shared" si="51"/>
        <v>26</v>
      </c>
      <c r="N337" s="189"/>
      <c r="O337" s="130">
        <f>IF(Principal!$D$30="Anual",IF(MOD(B337+1,12)=0,VLOOKUP(M337,'Flujos Anuales'!$B$8:$K$39,9),0),VLOOKUP(M337,'Flujos Anuales'!$B$8:$K$39,9)/12)</f>
        <v>665.11754823852755</v>
      </c>
      <c r="P337" s="120">
        <f>VLOOKUP(M337,'Flujos Anuales'!$B$8:$K$39,10)/12</f>
        <v>45.010156945117394</v>
      </c>
      <c r="Q337" s="120">
        <f t="shared" si="52"/>
        <v>2645.8664668964743</v>
      </c>
    </row>
    <row r="338" spans="2:17" x14ac:dyDescent="0.35">
      <c r="B338" s="10">
        <v>324</v>
      </c>
      <c r="C338" s="11">
        <f t="shared" si="46"/>
        <v>1517.9455240683837</v>
      </c>
      <c r="D338" s="11">
        <f t="shared" si="47"/>
        <v>293.91204635609046</v>
      </c>
      <c r="E338" s="11">
        <f t="shared" si="53"/>
        <v>1224.0334777122932</v>
      </c>
      <c r="F338" s="11">
        <f t="shared" si="54"/>
        <v>49160.888754760359</v>
      </c>
      <c r="H338" s="129">
        <f>IF(Principal!$D$25="Anual",IF(MOD(B338+1,12)=0,$W$2*((1+$W$3)^M338),0),$W$2*((1+$W$3)^M338)/12)</f>
        <v>420.66267889720916</v>
      </c>
      <c r="I338" s="68">
        <f t="shared" si="48"/>
        <v>2185.7801279655928</v>
      </c>
      <c r="J338" s="43">
        <f>SUM($I$14:I338)</f>
        <v>695985.65772295243</v>
      </c>
      <c r="K338" s="11">
        <f t="shared" si="49"/>
        <v>0</v>
      </c>
      <c r="L338" s="5">
        <f t="shared" si="50"/>
        <v>1938.6082029655927</v>
      </c>
      <c r="M338" s="10">
        <f t="shared" si="51"/>
        <v>27</v>
      </c>
      <c r="N338" s="189">
        <f>SUM(L338:L349)</f>
        <v>23263.298435587105</v>
      </c>
      <c r="O338" s="130">
        <f>IF(Principal!$D$30="Anual",IF(MOD(B338+1,12)=0,VLOOKUP(M338,'Flujos Anuales'!$B$8:$K$39,9),0),VLOOKUP(M338,'Flujos Anuales'!$B$8:$K$39,9)/12)</f>
        <v>695.49670266084513</v>
      </c>
      <c r="P338" s="120">
        <f>VLOOKUP(M338,'Flujos Anuales'!$B$8:$K$39,10)/12</f>
        <v>45.460258514568572</v>
      </c>
      <c r="Q338" s="120">
        <f t="shared" si="52"/>
        <v>2679.5651641410063</v>
      </c>
    </row>
    <row r="339" spans="2:17" x14ac:dyDescent="0.35">
      <c r="B339" s="10">
        <v>325</v>
      </c>
      <c r="C339" s="11">
        <f t="shared" si="46"/>
        <v>1517.9455240683837</v>
      </c>
      <c r="D339" s="11">
        <f t="shared" si="47"/>
        <v>286.77185106943546</v>
      </c>
      <c r="E339" s="11">
        <f t="shared" si="53"/>
        <v>1231.1736729989484</v>
      </c>
      <c r="F339" s="11">
        <f t="shared" si="54"/>
        <v>47929.715081761409</v>
      </c>
      <c r="H339" s="129">
        <f>IF(Principal!$D$25="Anual",IF(MOD(B339+1,12)=0,$W$2*((1+$W$3)^M339),0),$W$2*((1+$W$3)^M339)/12)</f>
        <v>420.66267889720916</v>
      </c>
      <c r="I339" s="68">
        <f t="shared" si="48"/>
        <v>2185.7801279655928</v>
      </c>
      <c r="J339" s="43">
        <f>SUM($I$14:I339)</f>
        <v>698171.43785091804</v>
      </c>
      <c r="K339" s="11">
        <f t="shared" si="49"/>
        <v>0</v>
      </c>
      <c r="L339" s="5">
        <f t="shared" si="50"/>
        <v>1938.6082029655927</v>
      </c>
      <c r="M339" s="10">
        <f t="shared" si="51"/>
        <v>27</v>
      </c>
      <c r="N339" s="189"/>
      <c r="O339" s="130">
        <f>IF(Principal!$D$30="Anual",IF(MOD(B339+1,12)=0,VLOOKUP(M339,'Flujos Anuales'!$B$8:$K$39,9),0),VLOOKUP(M339,'Flujos Anuales'!$B$8:$K$39,9)/12)</f>
        <v>695.49670266084513</v>
      </c>
      <c r="P339" s="120">
        <f>VLOOKUP(M339,'Flujos Anuales'!$B$8:$K$39,10)/12</f>
        <v>45.460258514568572</v>
      </c>
      <c r="Q339" s="120">
        <f t="shared" si="52"/>
        <v>2679.5651641410063</v>
      </c>
    </row>
    <row r="340" spans="2:17" x14ac:dyDescent="0.35">
      <c r="B340" s="10">
        <v>326</v>
      </c>
      <c r="C340" s="11">
        <f t="shared" si="46"/>
        <v>1517.9455240683837</v>
      </c>
      <c r="D340" s="11">
        <f t="shared" si="47"/>
        <v>279.59000464360821</v>
      </c>
      <c r="E340" s="11">
        <f t="shared" si="53"/>
        <v>1238.3555194247756</v>
      </c>
      <c r="F340" s="11">
        <f t="shared" si="54"/>
        <v>46691.359562336635</v>
      </c>
      <c r="H340" s="129">
        <f>IF(Principal!$D$25="Anual",IF(MOD(B340+1,12)=0,$W$2*((1+$W$3)^M340),0),$W$2*((1+$W$3)^M340)/12)</f>
        <v>420.66267889720916</v>
      </c>
      <c r="I340" s="68">
        <f t="shared" si="48"/>
        <v>2185.7801279655928</v>
      </c>
      <c r="J340" s="43">
        <f>SUM($I$14:I340)</f>
        <v>700357.21797888365</v>
      </c>
      <c r="K340" s="11">
        <f t="shared" si="49"/>
        <v>0</v>
      </c>
      <c r="L340" s="5">
        <f t="shared" si="50"/>
        <v>1938.6082029655927</v>
      </c>
      <c r="M340" s="10">
        <f t="shared" si="51"/>
        <v>27</v>
      </c>
      <c r="N340" s="189"/>
      <c r="O340" s="130">
        <f>IF(Principal!$D$30="Anual",IF(MOD(B340+1,12)=0,VLOOKUP(M340,'Flujos Anuales'!$B$8:$K$39,9),0),VLOOKUP(M340,'Flujos Anuales'!$B$8:$K$39,9)/12)</f>
        <v>695.49670266084513</v>
      </c>
      <c r="P340" s="120">
        <f>VLOOKUP(M340,'Flujos Anuales'!$B$8:$K$39,10)/12</f>
        <v>45.460258514568572</v>
      </c>
      <c r="Q340" s="120">
        <f t="shared" si="52"/>
        <v>2679.5651641410063</v>
      </c>
    </row>
    <row r="341" spans="2:17" x14ac:dyDescent="0.35">
      <c r="B341" s="10">
        <v>327</v>
      </c>
      <c r="C341" s="11">
        <f t="shared" si="46"/>
        <v>1517.9455240683837</v>
      </c>
      <c r="D341" s="11">
        <f t="shared" si="47"/>
        <v>272.36626411363039</v>
      </c>
      <c r="E341" s="11">
        <f t="shared" si="53"/>
        <v>1245.5792599547533</v>
      </c>
      <c r="F341" s="11">
        <f t="shared" si="54"/>
        <v>45445.780302381878</v>
      </c>
      <c r="H341" s="129">
        <f>IF(Principal!$D$25="Anual",IF(MOD(B341+1,12)=0,$W$2*((1+$W$3)^M341),0),$W$2*((1+$W$3)^M341)/12)</f>
        <v>420.66267889720916</v>
      </c>
      <c r="I341" s="68">
        <f t="shared" si="48"/>
        <v>2185.7801279655928</v>
      </c>
      <c r="J341" s="43">
        <f>SUM($I$14:I341)</f>
        <v>702542.99810684926</v>
      </c>
      <c r="K341" s="11">
        <f t="shared" si="49"/>
        <v>0</v>
      </c>
      <c r="L341" s="5">
        <f t="shared" si="50"/>
        <v>1938.6082029655927</v>
      </c>
      <c r="M341" s="10">
        <f t="shared" si="51"/>
        <v>27</v>
      </c>
      <c r="N341" s="189"/>
      <c r="O341" s="130">
        <f>IF(Principal!$D$30="Anual",IF(MOD(B341+1,12)=0,VLOOKUP(M341,'Flujos Anuales'!$B$8:$K$39,9),0),VLOOKUP(M341,'Flujos Anuales'!$B$8:$K$39,9)/12)</f>
        <v>695.49670266084513</v>
      </c>
      <c r="P341" s="120">
        <f>VLOOKUP(M341,'Flujos Anuales'!$B$8:$K$39,10)/12</f>
        <v>45.460258514568572</v>
      </c>
      <c r="Q341" s="120">
        <f t="shared" si="52"/>
        <v>2679.5651641410063</v>
      </c>
    </row>
    <row r="342" spans="2:17" x14ac:dyDescent="0.35">
      <c r="B342" s="10">
        <v>328</v>
      </c>
      <c r="C342" s="11">
        <f t="shared" si="46"/>
        <v>1517.9455240683837</v>
      </c>
      <c r="D342" s="11">
        <f t="shared" si="47"/>
        <v>265.10038509722762</v>
      </c>
      <c r="E342" s="11">
        <f t="shared" si="53"/>
        <v>1252.8451389711561</v>
      </c>
      <c r="F342" s="11">
        <f t="shared" si="54"/>
        <v>44192.935163410722</v>
      </c>
      <c r="H342" s="129">
        <f>IF(Principal!$D$25="Anual",IF(MOD(B342+1,12)=0,$W$2*((1+$W$3)^M342),0),$W$2*((1+$W$3)^M342)/12)</f>
        <v>420.66267889720916</v>
      </c>
      <c r="I342" s="68">
        <f t="shared" si="48"/>
        <v>2185.7801279655928</v>
      </c>
      <c r="J342" s="43">
        <f>SUM($I$14:I342)</f>
        <v>704728.77823481488</v>
      </c>
      <c r="K342" s="11">
        <f t="shared" si="49"/>
        <v>0</v>
      </c>
      <c r="L342" s="5">
        <f t="shared" si="50"/>
        <v>1938.6082029655927</v>
      </c>
      <c r="M342" s="10">
        <f t="shared" si="51"/>
        <v>27</v>
      </c>
      <c r="N342" s="189"/>
      <c r="O342" s="130">
        <f>IF(Principal!$D$30="Anual",IF(MOD(B342+1,12)=0,VLOOKUP(M342,'Flujos Anuales'!$B$8:$K$39,9),0),VLOOKUP(M342,'Flujos Anuales'!$B$8:$K$39,9)/12)</f>
        <v>695.49670266084513</v>
      </c>
      <c r="P342" s="120">
        <f>VLOOKUP(M342,'Flujos Anuales'!$B$8:$K$39,10)/12</f>
        <v>45.460258514568572</v>
      </c>
      <c r="Q342" s="120">
        <f t="shared" si="52"/>
        <v>2679.5651641410063</v>
      </c>
    </row>
    <row r="343" spans="2:17" x14ac:dyDescent="0.35">
      <c r="B343" s="10">
        <v>329</v>
      </c>
      <c r="C343" s="11">
        <f t="shared" si="46"/>
        <v>1517.9455240683837</v>
      </c>
      <c r="D343" s="11">
        <f t="shared" si="47"/>
        <v>257.79212178656257</v>
      </c>
      <c r="E343" s="11">
        <f t="shared" si="53"/>
        <v>1260.1534022818212</v>
      </c>
      <c r="F343" s="11">
        <f t="shared" si="54"/>
        <v>42932.781761128899</v>
      </c>
      <c r="H343" s="129">
        <f>IF(Principal!$D$25="Anual",IF(MOD(B343+1,12)=0,$W$2*((1+$W$3)^M343),0),$W$2*((1+$W$3)^M343)/12)</f>
        <v>420.66267889720916</v>
      </c>
      <c r="I343" s="68">
        <f t="shared" si="48"/>
        <v>2185.7801279655928</v>
      </c>
      <c r="J343" s="43">
        <f>SUM($I$14:I343)</f>
        <v>706914.55836278049</v>
      </c>
      <c r="K343" s="11">
        <f t="shared" si="49"/>
        <v>0</v>
      </c>
      <c r="L343" s="5">
        <f t="shared" si="50"/>
        <v>1938.6082029655927</v>
      </c>
      <c r="M343" s="10">
        <f t="shared" si="51"/>
        <v>27</v>
      </c>
      <c r="N343" s="189"/>
      <c r="O343" s="130">
        <f>IF(Principal!$D$30="Anual",IF(MOD(B343+1,12)=0,VLOOKUP(M343,'Flujos Anuales'!$B$8:$K$39,9),0),VLOOKUP(M343,'Flujos Anuales'!$B$8:$K$39,9)/12)</f>
        <v>695.49670266084513</v>
      </c>
      <c r="P343" s="120">
        <f>VLOOKUP(M343,'Flujos Anuales'!$B$8:$K$39,10)/12</f>
        <v>45.460258514568572</v>
      </c>
      <c r="Q343" s="120">
        <f t="shared" si="52"/>
        <v>2679.5651641410063</v>
      </c>
    </row>
    <row r="344" spans="2:17" x14ac:dyDescent="0.35">
      <c r="B344" s="10">
        <v>330</v>
      </c>
      <c r="C344" s="11">
        <f t="shared" si="46"/>
        <v>1517.9455240683837</v>
      </c>
      <c r="D344" s="11">
        <f t="shared" si="47"/>
        <v>250.44122693991858</v>
      </c>
      <c r="E344" s="11">
        <f t="shared" si="53"/>
        <v>1267.5042971284652</v>
      </c>
      <c r="F344" s="11">
        <f t="shared" si="54"/>
        <v>41665.277464000435</v>
      </c>
      <c r="H344" s="129">
        <f>IF(Principal!$D$25="Anual",IF(MOD(B344+1,12)=0,$W$2*((1+$W$3)^M344),0),$W$2*((1+$W$3)^M344)/12)</f>
        <v>420.66267889720916</v>
      </c>
      <c r="I344" s="68">
        <f t="shared" si="48"/>
        <v>2185.7801279655928</v>
      </c>
      <c r="J344" s="43">
        <f>SUM($I$14:I344)</f>
        <v>709100.3384907461</v>
      </c>
      <c r="K344" s="11">
        <f t="shared" si="49"/>
        <v>0</v>
      </c>
      <c r="L344" s="5">
        <f t="shared" si="50"/>
        <v>1938.6082029655927</v>
      </c>
      <c r="M344" s="10">
        <f t="shared" si="51"/>
        <v>27</v>
      </c>
      <c r="N344" s="189"/>
      <c r="O344" s="130">
        <f>IF(Principal!$D$30="Anual",IF(MOD(B344+1,12)=0,VLOOKUP(M344,'Flujos Anuales'!$B$8:$K$39,9),0),VLOOKUP(M344,'Flujos Anuales'!$B$8:$K$39,9)/12)</f>
        <v>695.49670266084513</v>
      </c>
      <c r="P344" s="120">
        <f>VLOOKUP(M344,'Flujos Anuales'!$B$8:$K$39,10)/12</f>
        <v>45.460258514568572</v>
      </c>
      <c r="Q344" s="120">
        <f t="shared" si="52"/>
        <v>2679.5651641410063</v>
      </c>
    </row>
    <row r="345" spans="2:17" x14ac:dyDescent="0.35">
      <c r="B345" s="10">
        <v>331</v>
      </c>
      <c r="C345" s="11">
        <f t="shared" si="46"/>
        <v>1517.9455240683837</v>
      </c>
      <c r="D345" s="11">
        <f t="shared" si="47"/>
        <v>243.04745187333589</v>
      </c>
      <c r="E345" s="11">
        <f t="shared" si="53"/>
        <v>1274.8980721950479</v>
      </c>
      <c r="F345" s="11">
        <f t="shared" si="54"/>
        <v>40390.379391805385</v>
      </c>
      <c r="H345" s="129">
        <f>IF(Principal!$D$25="Anual",IF(MOD(B345+1,12)=0,$W$2*((1+$W$3)^M345),0),$W$2*((1+$W$3)^M345)/12)</f>
        <v>420.66267889720916</v>
      </c>
      <c r="I345" s="68">
        <f t="shared" si="48"/>
        <v>2185.7801279655928</v>
      </c>
      <c r="J345" s="43">
        <f>SUM($I$14:I345)</f>
        <v>711286.11861871171</v>
      </c>
      <c r="K345" s="11">
        <f t="shared" si="49"/>
        <v>0</v>
      </c>
      <c r="L345" s="5">
        <f t="shared" si="50"/>
        <v>1938.6082029655927</v>
      </c>
      <c r="M345" s="10">
        <f t="shared" si="51"/>
        <v>27</v>
      </c>
      <c r="N345" s="189"/>
      <c r="O345" s="130">
        <f>IF(Principal!$D$30="Anual",IF(MOD(B345+1,12)=0,VLOOKUP(M345,'Flujos Anuales'!$B$8:$K$39,9),0),VLOOKUP(M345,'Flujos Anuales'!$B$8:$K$39,9)/12)</f>
        <v>695.49670266084513</v>
      </c>
      <c r="P345" s="120">
        <f>VLOOKUP(M345,'Flujos Anuales'!$B$8:$K$39,10)/12</f>
        <v>45.460258514568572</v>
      </c>
      <c r="Q345" s="120">
        <f t="shared" si="52"/>
        <v>2679.5651641410063</v>
      </c>
    </row>
    <row r="346" spans="2:17" x14ac:dyDescent="0.35">
      <c r="B346" s="10">
        <v>332</v>
      </c>
      <c r="C346" s="11">
        <f t="shared" si="46"/>
        <v>1517.9455240683837</v>
      </c>
      <c r="D346" s="11">
        <f t="shared" si="47"/>
        <v>235.61054645219809</v>
      </c>
      <c r="E346" s="11">
        <f t="shared" si="53"/>
        <v>1282.3349776161856</v>
      </c>
      <c r="F346" s="11">
        <f t="shared" si="54"/>
        <v>39108.0444141892</v>
      </c>
      <c r="H346" s="129">
        <f>IF(Principal!$D$25="Anual",IF(MOD(B346+1,12)=0,$W$2*((1+$W$3)^M346),0),$W$2*((1+$W$3)^M346)/12)</f>
        <v>420.66267889720916</v>
      </c>
      <c r="I346" s="68">
        <f t="shared" si="48"/>
        <v>2185.7801279655928</v>
      </c>
      <c r="J346" s="43">
        <f>SUM($I$14:I346)</f>
        <v>713471.89874667733</v>
      </c>
      <c r="K346" s="11">
        <f t="shared" si="49"/>
        <v>0</v>
      </c>
      <c r="L346" s="5">
        <f t="shared" si="50"/>
        <v>1938.6082029655927</v>
      </c>
      <c r="M346" s="10">
        <f t="shared" si="51"/>
        <v>27</v>
      </c>
      <c r="N346" s="189"/>
      <c r="O346" s="130">
        <f>IF(Principal!$D$30="Anual",IF(MOD(B346+1,12)=0,VLOOKUP(M346,'Flujos Anuales'!$B$8:$K$39,9),0),VLOOKUP(M346,'Flujos Anuales'!$B$8:$K$39,9)/12)</f>
        <v>695.49670266084513</v>
      </c>
      <c r="P346" s="120">
        <f>VLOOKUP(M346,'Flujos Anuales'!$B$8:$K$39,10)/12</f>
        <v>45.460258514568572</v>
      </c>
      <c r="Q346" s="120">
        <f t="shared" si="52"/>
        <v>2679.5651641410063</v>
      </c>
    </row>
    <row r="347" spans="2:17" x14ac:dyDescent="0.35">
      <c r="B347" s="10">
        <v>333</v>
      </c>
      <c r="C347" s="11">
        <f t="shared" si="46"/>
        <v>1517.9455240683837</v>
      </c>
      <c r="D347" s="11">
        <f t="shared" si="47"/>
        <v>228.13025908277035</v>
      </c>
      <c r="E347" s="11">
        <f t="shared" si="53"/>
        <v>1289.8152649856133</v>
      </c>
      <c r="F347" s="11">
        <f t="shared" si="54"/>
        <v>37818.229149203587</v>
      </c>
      <c r="H347" s="129">
        <f>IF(Principal!$D$25="Anual",IF(MOD(B347+1,12)=0,$W$2*((1+$W$3)^M347),0),$W$2*((1+$W$3)^M347)/12)</f>
        <v>420.66267889720916</v>
      </c>
      <c r="I347" s="68">
        <f t="shared" si="48"/>
        <v>2185.7801279655928</v>
      </c>
      <c r="J347" s="43">
        <f>SUM($I$14:I347)</f>
        <v>715657.67887464294</v>
      </c>
      <c r="K347" s="11">
        <f t="shared" si="49"/>
        <v>0</v>
      </c>
      <c r="L347" s="5">
        <f t="shared" si="50"/>
        <v>1938.6082029655927</v>
      </c>
      <c r="M347" s="10">
        <f t="shared" si="51"/>
        <v>27</v>
      </c>
      <c r="N347" s="189"/>
      <c r="O347" s="130">
        <f>IF(Principal!$D$30="Anual",IF(MOD(B347+1,12)=0,VLOOKUP(M347,'Flujos Anuales'!$B$8:$K$39,9),0),VLOOKUP(M347,'Flujos Anuales'!$B$8:$K$39,9)/12)</f>
        <v>695.49670266084513</v>
      </c>
      <c r="P347" s="120">
        <f>VLOOKUP(M347,'Flujos Anuales'!$B$8:$K$39,10)/12</f>
        <v>45.460258514568572</v>
      </c>
      <c r="Q347" s="120">
        <f t="shared" si="52"/>
        <v>2679.5651641410063</v>
      </c>
    </row>
    <row r="348" spans="2:17" x14ac:dyDescent="0.35">
      <c r="B348" s="10">
        <v>334</v>
      </c>
      <c r="C348" s="11">
        <f t="shared" si="46"/>
        <v>1517.9455240683837</v>
      </c>
      <c r="D348" s="11">
        <f t="shared" si="47"/>
        <v>220.60633670368762</v>
      </c>
      <c r="E348" s="11">
        <f t="shared" si="53"/>
        <v>1297.339187364696</v>
      </c>
      <c r="F348" s="11">
        <f t="shared" si="54"/>
        <v>36520.88996183889</v>
      </c>
      <c r="H348" s="129">
        <f>IF(Principal!$D$25="Anual",IF(MOD(B348+1,12)=0,$W$2*((1+$W$3)^M348),0),$W$2*((1+$W$3)^M348)/12)</f>
        <v>420.66267889720916</v>
      </c>
      <c r="I348" s="68">
        <f t="shared" si="48"/>
        <v>2185.7801279655928</v>
      </c>
      <c r="J348" s="43">
        <f>SUM($I$14:I348)</f>
        <v>717843.45900260855</v>
      </c>
      <c r="K348" s="11">
        <f t="shared" si="49"/>
        <v>0</v>
      </c>
      <c r="L348" s="5">
        <f t="shared" si="50"/>
        <v>1938.6082029655927</v>
      </c>
      <c r="M348" s="10">
        <f t="shared" si="51"/>
        <v>27</v>
      </c>
      <c r="N348" s="189"/>
      <c r="O348" s="130">
        <f>IF(Principal!$D$30="Anual",IF(MOD(B348+1,12)=0,VLOOKUP(M348,'Flujos Anuales'!$B$8:$K$39,9),0),VLOOKUP(M348,'Flujos Anuales'!$B$8:$K$39,9)/12)</f>
        <v>695.49670266084513</v>
      </c>
      <c r="P348" s="120">
        <f>VLOOKUP(M348,'Flujos Anuales'!$B$8:$K$39,10)/12</f>
        <v>45.460258514568572</v>
      </c>
      <c r="Q348" s="120">
        <f t="shared" si="52"/>
        <v>2679.5651641410063</v>
      </c>
    </row>
    <row r="349" spans="2:17" x14ac:dyDescent="0.35">
      <c r="B349" s="10">
        <v>335</v>
      </c>
      <c r="C349" s="11">
        <f t="shared" si="46"/>
        <v>1517.9455240683837</v>
      </c>
      <c r="D349" s="11">
        <f t="shared" si="47"/>
        <v>213.03852477739352</v>
      </c>
      <c r="E349" s="11">
        <f t="shared" si="53"/>
        <v>1304.9069992909901</v>
      </c>
      <c r="F349" s="11">
        <f t="shared" si="54"/>
        <v>35215.982962547896</v>
      </c>
      <c r="H349" s="129">
        <f>IF(Principal!$D$25="Anual",IF(MOD(B349+1,12)=0,$W$2*((1+$W$3)^M349),0),$W$2*((1+$W$3)^M349)/12)</f>
        <v>420.66267889720916</v>
      </c>
      <c r="I349" s="68">
        <f t="shared" si="48"/>
        <v>2185.7801279655928</v>
      </c>
      <c r="J349" s="43">
        <f>SUM($I$14:I349)</f>
        <v>720029.23913057416</v>
      </c>
      <c r="K349" s="11">
        <f t="shared" si="49"/>
        <v>0</v>
      </c>
      <c r="L349" s="5">
        <f t="shared" si="50"/>
        <v>1938.6082029655927</v>
      </c>
      <c r="M349" s="10">
        <f t="shared" si="51"/>
        <v>27</v>
      </c>
      <c r="N349" s="189"/>
      <c r="O349" s="130">
        <f>IF(Principal!$D$30="Anual",IF(MOD(B349+1,12)=0,VLOOKUP(M349,'Flujos Anuales'!$B$8:$K$39,9),0),VLOOKUP(M349,'Flujos Anuales'!$B$8:$K$39,9)/12)</f>
        <v>695.49670266084513</v>
      </c>
      <c r="P349" s="120">
        <f>VLOOKUP(M349,'Flujos Anuales'!$B$8:$K$39,10)/12</f>
        <v>45.460258514568572</v>
      </c>
      <c r="Q349" s="120">
        <f t="shared" si="52"/>
        <v>2679.5651641410063</v>
      </c>
    </row>
    <row r="350" spans="2:17" x14ac:dyDescent="0.35">
      <c r="B350" s="10">
        <v>336</v>
      </c>
      <c r="C350" s="11">
        <f t="shared" si="46"/>
        <v>1517.9455240683837</v>
      </c>
      <c r="D350" s="11">
        <f t="shared" si="47"/>
        <v>205.4265672815294</v>
      </c>
      <c r="E350" s="11">
        <f t="shared" si="53"/>
        <v>1312.5189567868542</v>
      </c>
      <c r="F350" s="11">
        <f t="shared" si="54"/>
        <v>33903.464005761045</v>
      </c>
      <c r="H350" s="129">
        <f>IF(Principal!$D$25="Anual",IF(MOD(B350+1,12)=0,$W$2*((1+$W$3)^M350),0),$W$2*((1+$W$3)^M350)/12)</f>
        <v>423.55182772865322</v>
      </c>
      <c r="I350" s="68">
        <f t="shared" si="48"/>
        <v>2188.6692767970371</v>
      </c>
      <c r="J350" s="43">
        <f>SUM($I$14:I350)</f>
        <v>722217.90840737114</v>
      </c>
      <c r="K350" s="11">
        <f t="shared" si="49"/>
        <v>0</v>
      </c>
      <c r="L350" s="5">
        <f t="shared" si="50"/>
        <v>1941.497351797037</v>
      </c>
      <c r="M350" s="10">
        <f t="shared" si="51"/>
        <v>28</v>
      </c>
      <c r="N350" s="189">
        <f>SUM(L350:L361)</f>
        <v>23297.968221564443</v>
      </c>
      <c r="O350" s="130">
        <f>IF(Principal!$D$30="Anual",IF(MOD(B350+1,12)=0,VLOOKUP(M350,'Flujos Anuales'!$B$8:$K$39,9),0),VLOOKUP(M350,'Flujos Anuales'!$B$8:$K$39,9)/12)</f>
        <v>727.26342086923239</v>
      </c>
      <c r="P350" s="120">
        <f>VLOOKUP(M350,'Flujos Anuales'!$B$8:$K$39,10)/12</f>
        <v>45.914861099714251</v>
      </c>
      <c r="Q350" s="120">
        <f t="shared" si="52"/>
        <v>2714.675633765984</v>
      </c>
    </row>
    <row r="351" spans="2:17" x14ac:dyDescent="0.35">
      <c r="B351" s="10">
        <v>337</v>
      </c>
      <c r="C351" s="11">
        <f t="shared" si="46"/>
        <v>1517.9455240683837</v>
      </c>
      <c r="D351" s="11">
        <f t="shared" si="47"/>
        <v>197.77020670027278</v>
      </c>
      <c r="E351" s="11">
        <f t="shared" si="53"/>
        <v>1320.1753173681109</v>
      </c>
      <c r="F351" s="11">
        <f t="shared" si="54"/>
        <v>32583.288688392935</v>
      </c>
      <c r="H351" s="129">
        <f>IF(Principal!$D$25="Anual",IF(MOD(B351+1,12)=0,$W$2*((1+$W$3)^M351),0),$W$2*((1+$W$3)^M351)/12)</f>
        <v>423.55182772865322</v>
      </c>
      <c r="I351" s="68">
        <f t="shared" si="48"/>
        <v>2188.6692767970371</v>
      </c>
      <c r="J351" s="43">
        <f>SUM($I$14:I351)</f>
        <v>724406.57768416812</v>
      </c>
      <c r="K351" s="11">
        <f t="shared" si="49"/>
        <v>0</v>
      </c>
      <c r="L351" s="5">
        <f t="shared" si="50"/>
        <v>1941.497351797037</v>
      </c>
      <c r="M351" s="10">
        <f t="shared" si="51"/>
        <v>28</v>
      </c>
      <c r="N351" s="189"/>
      <c r="O351" s="130">
        <f>IF(Principal!$D$30="Anual",IF(MOD(B351+1,12)=0,VLOOKUP(M351,'Flujos Anuales'!$B$8:$K$39,9),0),VLOOKUP(M351,'Flujos Anuales'!$B$8:$K$39,9)/12)</f>
        <v>727.26342086923239</v>
      </c>
      <c r="P351" s="120">
        <f>VLOOKUP(M351,'Flujos Anuales'!$B$8:$K$39,10)/12</f>
        <v>45.914861099714251</v>
      </c>
      <c r="Q351" s="120">
        <f t="shared" si="52"/>
        <v>2714.675633765984</v>
      </c>
    </row>
    <row r="352" spans="2:17" x14ac:dyDescent="0.35">
      <c r="B352" s="10">
        <v>338</v>
      </c>
      <c r="C352" s="11">
        <f t="shared" si="46"/>
        <v>1517.9455240683837</v>
      </c>
      <c r="D352" s="11">
        <f t="shared" si="47"/>
        <v>190.06918401562547</v>
      </c>
      <c r="E352" s="11">
        <f t="shared" si="53"/>
        <v>1327.8763400527582</v>
      </c>
      <c r="F352" s="11">
        <f t="shared" si="54"/>
        <v>31255.412348340178</v>
      </c>
      <c r="H352" s="129">
        <f>IF(Principal!$D$25="Anual",IF(MOD(B352+1,12)=0,$W$2*((1+$W$3)^M352),0),$W$2*((1+$W$3)^M352)/12)</f>
        <v>423.55182772865322</v>
      </c>
      <c r="I352" s="68">
        <f t="shared" si="48"/>
        <v>2188.6692767970371</v>
      </c>
      <c r="J352" s="43">
        <f>SUM($I$14:I352)</f>
        <v>726595.2469609651</v>
      </c>
      <c r="K352" s="11">
        <f t="shared" si="49"/>
        <v>0</v>
      </c>
      <c r="L352" s="5">
        <f t="shared" si="50"/>
        <v>1941.497351797037</v>
      </c>
      <c r="M352" s="10">
        <f t="shared" si="51"/>
        <v>28</v>
      </c>
      <c r="N352" s="189"/>
      <c r="O352" s="130">
        <f>IF(Principal!$D$30="Anual",IF(MOD(B352+1,12)=0,VLOOKUP(M352,'Flujos Anuales'!$B$8:$K$39,9),0),VLOOKUP(M352,'Flujos Anuales'!$B$8:$K$39,9)/12)</f>
        <v>727.26342086923239</v>
      </c>
      <c r="P352" s="120">
        <f>VLOOKUP(M352,'Flujos Anuales'!$B$8:$K$39,10)/12</f>
        <v>45.914861099714251</v>
      </c>
      <c r="Q352" s="120">
        <f t="shared" si="52"/>
        <v>2714.675633765984</v>
      </c>
    </row>
    <row r="353" spans="2:17" x14ac:dyDescent="0.35">
      <c r="B353" s="10">
        <v>339</v>
      </c>
      <c r="C353" s="11">
        <f t="shared" si="46"/>
        <v>1517.9455240683837</v>
      </c>
      <c r="D353" s="11">
        <f t="shared" si="47"/>
        <v>182.32323869865104</v>
      </c>
      <c r="E353" s="11">
        <f t="shared" si="53"/>
        <v>1335.6222853697327</v>
      </c>
      <c r="F353" s="11">
        <f t="shared" si="54"/>
        <v>29919.790062970445</v>
      </c>
      <c r="H353" s="129">
        <f>IF(Principal!$D$25="Anual",IF(MOD(B353+1,12)=0,$W$2*((1+$W$3)^M353),0),$W$2*((1+$W$3)^M353)/12)</f>
        <v>423.55182772865322</v>
      </c>
      <c r="I353" s="68">
        <f t="shared" si="48"/>
        <v>2188.6692767970371</v>
      </c>
      <c r="J353" s="43">
        <f>SUM($I$14:I353)</f>
        <v>728783.91623776208</v>
      </c>
      <c r="K353" s="11">
        <f t="shared" si="49"/>
        <v>0</v>
      </c>
      <c r="L353" s="5">
        <f t="shared" si="50"/>
        <v>1941.497351797037</v>
      </c>
      <c r="M353" s="10">
        <f t="shared" si="51"/>
        <v>28</v>
      </c>
      <c r="N353" s="189"/>
      <c r="O353" s="130">
        <f>IF(Principal!$D$30="Anual",IF(MOD(B353+1,12)=0,VLOOKUP(M353,'Flujos Anuales'!$B$8:$K$39,9),0),VLOOKUP(M353,'Flujos Anuales'!$B$8:$K$39,9)/12)</f>
        <v>727.26342086923239</v>
      </c>
      <c r="P353" s="120">
        <f>VLOOKUP(M353,'Flujos Anuales'!$B$8:$K$39,10)/12</f>
        <v>45.914861099714251</v>
      </c>
      <c r="Q353" s="120">
        <f t="shared" si="52"/>
        <v>2714.675633765984</v>
      </c>
    </row>
    <row r="354" spans="2:17" x14ac:dyDescent="0.35">
      <c r="B354" s="10">
        <v>340</v>
      </c>
      <c r="C354" s="11">
        <f t="shared" si="46"/>
        <v>1517.9455240683837</v>
      </c>
      <c r="D354" s="11">
        <f t="shared" si="47"/>
        <v>174.53210870066093</v>
      </c>
      <c r="E354" s="11">
        <f t="shared" si="53"/>
        <v>1343.4134153677228</v>
      </c>
      <c r="F354" s="11">
        <f t="shared" si="54"/>
        <v>28576.376647602723</v>
      </c>
      <c r="H354" s="129">
        <f>IF(Principal!$D$25="Anual",IF(MOD(B354+1,12)=0,$W$2*((1+$W$3)^M354),0),$W$2*((1+$W$3)^M354)/12)</f>
        <v>423.55182772865322</v>
      </c>
      <c r="I354" s="68">
        <f t="shared" si="48"/>
        <v>2188.6692767970371</v>
      </c>
      <c r="J354" s="43">
        <f>SUM($I$14:I354)</f>
        <v>730972.58551455906</v>
      </c>
      <c r="K354" s="11">
        <f t="shared" si="49"/>
        <v>0</v>
      </c>
      <c r="L354" s="5">
        <f t="shared" si="50"/>
        <v>1941.497351797037</v>
      </c>
      <c r="M354" s="10">
        <f t="shared" si="51"/>
        <v>28</v>
      </c>
      <c r="N354" s="189"/>
      <c r="O354" s="130">
        <f>IF(Principal!$D$30="Anual",IF(MOD(B354+1,12)=0,VLOOKUP(M354,'Flujos Anuales'!$B$8:$K$39,9),0),VLOOKUP(M354,'Flujos Anuales'!$B$8:$K$39,9)/12)</f>
        <v>727.26342086923239</v>
      </c>
      <c r="P354" s="120">
        <f>VLOOKUP(M354,'Flujos Anuales'!$B$8:$K$39,10)/12</f>
        <v>45.914861099714251</v>
      </c>
      <c r="Q354" s="120">
        <f t="shared" si="52"/>
        <v>2714.675633765984</v>
      </c>
    </row>
    <row r="355" spans="2:17" x14ac:dyDescent="0.35">
      <c r="B355" s="10">
        <v>341</v>
      </c>
      <c r="C355" s="11">
        <f t="shared" si="46"/>
        <v>1517.9455240683837</v>
      </c>
      <c r="D355" s="11">
        <f t="shared" si="47"/>
        <v>166.69553044434923</v>
      </c>
      <c r="E355" s="11">
        <f t="shared" si="53"/>
        <v>1351.2499936240345</v>
      </c>
      <c r="F355" s="11">
        <f t="shared" si="54"/>
        <v>27225.126653978688</v>
      </c>
      <c r="H355" s="129">
        <f>IF(Principal!$D$25="Anual",IF(MOD(B355+1,12)=0,$W$2*((1+$W$3)^M355),0),$W$2*((1+$W$3)^M355)/12)</f>
        <v>423.55182772865322</v>
      </c>
      <c r="I355" s="68">
        <f t="shared" si="48"/>
        <v>2188.6692767970371</v>
      </c>
      <c r="J355" s="43">
        <f>SUM($I$14:I355)</f>
        <v>733161.25479135604</v>
      </c>
      <c r="K355" s="11">
        <f t="shared" si="49"/>
        <v>0</v>
      </c>
      <c r="L355" s="5">
        <f t="shared" si="50"/>
        <v>1941.497351797037</v>
      </c>
      <c r="M355" s="10">
        <f t="shared" si="51"/>
        <v>28</v>
      </c>
      <c r="N355" s="189"/>
      <c r="O355" s="130">
        <f>IF(Principal!$D$30="Anual",IF(MOD(B355+1,12)=0,VLOOKUP(M355,'Flujos Anuales'!$B$8:$K$39,9),0),VLOOKUP(M355,'Flujos Anuales'!$B$8:$K$39,9)/12)</f>
        <v>727.26342086923239</v>
      </c>
      <c r="P355" s="120">
        <f>VLOOKUP(M355,'Flujos Anuales'!$B$8:$K$39,10)/12</f>
        <v>45.914861099714251</v>
      </c>
      <c r="Q355" s="120">
        <f t="shared" si="52"/>
        <v>2714.675633765984</v>
      </c>
    </row>
    <row r="356" spans="2:17" x14ac:dyDescent="0.35">
      <c r="B356" s="10">
        <v>342</v>
      </c>
      <c r="C356" s="11">
        <f t="shared" si="46"/>
        <v>1517.9455240683837</v>
      </c>
      <c r="D356" s="11">
        <f t="shared" si="47"/>
        <v>158.81323881487569</v>
      </c>
      <c r="E356" s="11">
        <f t="shared" si="53"/>
        <v>1359.1322852535081</v>
      </c>
      <c r="F356" s="11">
        <f t="shared" si="54"/>
        <v>25865.99436872518</v>
      </c>
      <c r="H356" s="129">
        <f>IF(Principal!$D$25="Anual",IF(MOD(B356+1,12)=0,$W$2*((1+$W$3)^M356),0),$W$2*((1+$W$3)^M356)/12)</f>
        <v>423.55182772865322</v>
      </c>
      <c r="I356" s="68">
        <f t="shared" si="48"/>
        <v>2188.6692767970371</v>
      </c>
      <c r="J356" s="43">
        <f>SUM($I$14:I356)</f>
        <v>735349.92406815302</v>
      </c>
      <c r="K356" s="11">
        <f t="shared" si="49"/>
        <v>0</v>
      </c>
      <c r="L356" s="5">
        <f t="shared" si="50"/>
        <v>1941.497351797037</v>
      </c>
      <c r="M356" s="10">
        <f t="shared" si="51"/>
        <v>28</v>
      </c>
      <c r="N356" s="189"/>
      <c r="O356" s="130">
        <f>IF(Principal!$D$30="Anual",IF(MOD(B356+1,12)=0,VLOOKUP(M356,'Flujos Anuales'!$B$8:$K$39,9),0),VLOOKUP(M356,'Flujos Anuales'!$B$8:$K$39,9)/12)</f>
        <v>727.26342086923239</v>
      </c>
      <c r="P356" s="120">
        <f>VLOOKUP(M356,'Flujos Anuales'!$B$8:$K$39,10)/12</f>
        <v>45.914861099714251</v>
      </c>
      <c r="Q356" s="120">
        <f t="shared" si="52"/>
        <v>2714.675633765984</v>
      </c>
    </row>
    <row r="357" spans="2:17" x14ac:dyDescent="0.35">
      <c r="B357" s="10">
        <v>343</v>
      </c>
      <c r="C357" s="11">
        <f t="shared" si="46"/>
        <v>1517.9455240683837</v>
      </c>
      <c r="D357" s="11">
        <f t="shared" si="47"/>
        <v>150.8849671508969</v>
      </c>
      <c r="E357" s="11">
        <f t="shared" si="53"/>
        <v>1367.0605569174868</v>
      </c>
      <c r="F357" s="11">
        <f t="shared" si="54"/>
        <v>24498.933811807692</v>
      </c>
      <c r="H357" s="129">
        <f>IF(Principal!$D$25="Anual",IF(MOD(B357+1,12)=0,$W$2*((1+$W$3)^M357),0),$W$2*((1+$W$3)^M357)/12)</f>
        <v>423.55182772865322</v>
      </c>
      <c r="I357" s="68">
        <f t="shared" si="48"/>
        <v>2188.6692767970371</v>
      </c>
      <c r="J357" s="43">
        <f>SUM($I$14:I357)</f>
        <v>737538.59334495</v>
      </c>
      <c r="K357" s="11">
        <f t="shared" si="49"/>
        <v>0</v>
      </c>
      <c r="L357" s="5">
        <f t="shared" si="50"/>
        <v>1941.497351797037</v>
      </c>
      <c r="M357" s="10">
        <f t="shared" si="51"/>
        <v>28</v>
      </c>
      <c r="N357" s="189"/>
      <c r="O357" s="130">
        <f>IF(Principal!$D$30="Anual",IF(MOD(B357+1,12)=0,VLOOKUP(M357,'Flujos Anuales'!$B$8:$K$39,9),0),VLOOKUP(M357,'Flujos Anuales'!$B$8:$K$39,9)/12)</f>
        <v>727.26342086923239</v>
      </c>
      <c r="P357" s="120">
        <f>VLOOKUP(M357,'Flujos Anuales'!$B$8:$K$39,10)/12</f>
        <v>45.914861099714251</v>
      </c>
      <c r="Q357" s="120">
        <f t="shared" si="52"/>
        <v>2714.675633765984</v>
      </c>
    </row>
    <row r="358" spans="2:17" x14ac:dyDescent="0.35">
      <c r="B358" s="10">
        <v>344</v>
      </c>
      <c r="C358" s="11">
        <f t="shared" si="46"/>
        <v>1517.9455240683837</v>
      </c>
      <c r="D358" s="11">
        <f t="shared" si="47"/>
        <v>142.91044723554486</v>
      </c>
      <c r="E358" s="11">
        <f t="shared" si="53"/>
        <v>1375.035076832839</v>
      </c>
      <c r="F358" s="11">
        <f t="shared" si="54"/>
        <v>23123.898734974853</v>
      </c>
      <c r="H358" s="129">
        <f>IF(Principal!$D$25="Anual",IF(MOD(B358+1,12)=0,$W$2*((1+$W$3)^M358),0),$W$2*((1+$W$3)^M358)/12)</f>
        <v>423.55182772865322</v>
      </c>
      <c r="I358" s="68">
        <f t="shared" si="48"/>
        <v>2188.6692767970371</v>
      </c>
      <c r="J358" s="43">
        <f>SUM($I$14:I358)</f>
        <v>739727.26262174698</v>
      </c>
      <c r="K358" s="11">
        <f t="shared" si="49"/>
        <v>0</v>
      </c>
      <c r="L358" s="5">
        <f t="shared" si="50"/>
        <v>1941.497351797037</v>
      </c>
      <c r="M358" s="10">
        <f t="shared" si="51"/>
        <v>28</v>
      </c>
      <c r="N358" s="189"/>
      <c r="O358" s="130">
        <f>IF(Principal!$D$30="Anual",IF(MOD(B358+1,12)=0,VLOOKUP(M358,'Flujos Anuales'!$B$8:$K$39,9),0),VLOOKUP(M358,'Flujos Anuales'!$B$8:$K$39,9)/12)</f>
        <v>727.26342086923239</v>
      </c>
      <c r="P358" s="120">
        <f>VLOOKUP(M358,'Flujos Anuales'!$B$8:$K$39,10)/12</f>
        <v>45.914861099714251</v>
      </c>
      <c r="Q358" s="120">
        <f t="shared" si="52"/>
        <v>2714.675633765984</v>
      </c>
    </row>
    <row r="359" spans="2:17" x14ac:dyDescent="0.35">
      <c r="B359" s="10">
        <v>345</v>
      </c>
      <c r="C359" s="11">
        <f t="shared" si="46"/>
        <v>1517.9455240683837</v>
      </c>
      <c r="D359" s="11">
        <f t="shared" si="47"/>
        <v>134.88940928735332</v>
      </c>
      <c r="E359" s="11">
        <f t="shared" si="53"/>
        <v>1383.0561147810304</v>
      </c>
      <c r="F359" s="11">
        <f t="shared" si="54"/>
        <v>21740.842620193824</v>
      </c>
      <c r="H359" s="129">
        <f>IF(Principal!$D$25="Anual",IF(MOD(B359+1,12)=0,$W$2*((1+$W$3)^M359),0),$W$2*((1+$W$3)^M359)/12)</f>
        <v>423.55182772865322</v>
      </c>
      <c r="I359" s="68">
        <f t="shared" si="48"/>
        <v>2188.6692767970371</v>
      </c>
      <c r="J359" s="43">
        <f>SUM($I$14:I359)</f>
        <v>741915.93189854396</v>
      </c>
      <c r="K359" s="11">
        <f t="shared" si="49"/>
        <v>0</v>
      </c>
      <c r="L359" s="5">
        <f t="shared" si="50"/>
        <v>1941.497351797037</v>
      </c>
      <c r="M359" s="10">
        <f t="shared" si="51"/>
        <v>28</v>
      </c>
      <c r="N359" s="189"/>
      <c r="O359" s="130">
        <f>IF(Principal!$D$30="Anual",IF(MOD(B359+1,12)=0,VLOOKUP(M359,'Flujos Anuales'!$B$8:$K$39,9),0),VLOOKUP(M359,'Flujos Anuales'!$B$8:$K$39,9)/12)</f>
        <v>727.26342086923239</v>
      </c>
      <c r="P359" s="120">
        <f>VLOOKUP(M359,'Flujos Anuales'!$B$8:$K$39,10)/12</f>
        <v>45.914861099714251</v>
      </c>
      <c r="Q359" s="120">
        <f t="shared" si="52"/>
        <v>2714.675633765984</v>
      </c>
    </row>
    <row r="360" spans="2:17" x14ac:dyDescent="0.35">
      <c r="B360" s="10">
        <v>346</v>
      </c>
      <c r="C360" s="11">
        <f t="shared" si="46"/>
        <v>1517.9455240683837</v>
      </c>
      <c r="D360" s="11">
        <f t="shared" si="47"/>
        <v>126.82158195113064</v>
      </c>
      <c r="E360" s="11">
        <f t="shared" si="53"/>
        <v>1391.1239421172531</v>
      </c>
      <c r="F360" s="11">
        <f t="shared" si="54"/>
        <v>20349.71867807657</v>
      </c>
      <c r="H360" s="129">
        <f>IF(Principal!$D$25="Anual",IF(MOD(B360+1,12)=0,$W$2*((1+$W$3)^M360),0),$W$2*((1+$W$3)^M360)/12)</f>
        <v>423.55182772865322</v>
      </c>
      <c r="I360" s="68">
        <f t="shared" si="48"/>
        <v>2188.6692767970371</v>
      </c>
      <c r="J360" s="43">
        <f>SUM($I$14:I360)</f>
        <v>744104.60117534094</v>
      </c>
      <c r="K360" s="11">
        <f t="shared" si="49"/>
        <v>0</v>
      </c>
      <c r="L360" s="5">
        <f t="shared" si="50"/>
        <v>1941.497351797037</v>
      </c>
      <c r="M360" s="10">
        <f t="shared" si="51"/>
        <v>28</v>
      </c>
      <c r="N360" s="189"/>
      <c r="O360" s="130">
        <f>IF(Principal!$D$30="Anual",IF(MOD(B360+1,12)=0,VLOOKUP(M360,'Flujos Anuales'!$B$8:$K$39,9),0),VLOOKUP(M360,'Flujos Anuales'!$B$8:$K$39,9)/12)</f>
        <v>727.26342086923239</v>
      </c>
      <c r="P360" s="120">
        <f>VLOOKUP(M360,'Flujos Anuales'!$B$8:$K$39,10)/12</f>
        <v>45.914861099714251</v>
      </c>
      <c r="Q360" s="120">
        <f t="shared" si="52"/>
        <v>2714.675633765984</v>
      </c>
    </row>
    <row r="361" spans="2:17" x14ac:dyDescent="0.35">
      <c r="B361" s="10">
        <v>347</v>
      </c>
      <c r="C361" s="11">
        <f t="shared" si="46"/>
        <v>1517.9455240683837</v>
      </c>
      <c r="D361" s="11">
        <f t="shared" si="47"/>
        <v>118.70669228877999</v>
      </c>
      <c r="E361" s="11">
        <f t="shared" si="53"/>
        <v>1399.2388317796037</v>
      </c>
      <c r="F361" s="11">
        <f t="shared" si="54"/>
        <v>18950.479846296967</v>
      </c>
      <c r="H361" s="129">
        <f>IF(Principal!$D$25="Anual",IF(MOD(B361+1,12)=0,$W$2*((1+$W$3)^M361),0),$W$2*((1+$W$3)^M361)/12)</f>
        <v>423.55182772865322</v>
      </c>
      <c r="I361" s="68">
        <f t="shared" si="48"/>
        <v>2188.6692767970371</v>
      </c>
      <c r="J361" s="43">
        <f>SUM($I$14:I361)</f>
        <v>746293.27045213792</v>
      </c>
      <c r="K361" s="11">
        <f t="shared" si="49"/>
        <v>0</v>
      </c>
      <c r="L361" s="5">
        <f t="shared" si="50"/>
        <v>1941.497351797037</v>
      </c>
      <c r="M361" s="10">
        <f t="shared" si="51"/>
        <v>28</v>
      </c>
      <c r="N361" s="189"/>
      <c r="O361" s="130">
        <f>IF(Principal!$D$30="Anual",IF(MOD(B361+1,12)=0,VLOOKUP(M361,'Flujos Anuales'!$B$8:$K$39,9),0),VLOOKUP(M361,'Flujos Anuales'!$B$8:$K$39,9)/12)</f>
        <v>727.26342086923239</v>
      </c>
      <c r="P361" s="120">
        <f>VLOOKUP(M361,'Flujos Anuales'!$B$8:$K$39,10)/12</f>
        <v>45.914861099714251</v>
      </c>
      <c r="Q361" s="120">
        <f t="shared" si="52"/>
        <v>2714.675633765984</v>
      </c>
    </row>
    <row r="362" spans="2:17" x14ac:dyDescent="0.35">
      <c r="B362" s="10">
        <v>348</v>
      </c>
      <c r="C362" s="11">
        <f t="shared" si="46"/>
        <v>1517.9455240683837</v>
      </c>
      <c r="D362" s="11">
        <f t="shared" si="47"/>
        <v>110.54446577006564</v>
      </c>
      <c r="E362" s="11">
        <f t="shared" si="53"/>
        <v>1407.401058298318</v>
      </c>
      <c r="F362" s="11">
        <f t="shared" si="54"/>
        <v>17543.078787998649</v>
      </c>
      <c r="H362" s="129">
        <f>IF(Principal!$D$25="Anual",IF(MOD(B362+1,12)=0,$W$2*((1+$W$3)^M362),0),$W$2*((1+$W$3)^M362)/12)</f>
        <v>426.46081949218745</v>
      </c>
      <c r="I362" s="68">
        <f t="shared" si="48"/>
        <v>2191.5782685605714</v>
      </c>
      <c r="J362" s="43">
        <f>SUM($I$14:I362)</f>
        <v>748484.8487206985</v>
      </c>
      <c r="K362" s="11">
        <f t="shared" si="49"/>
        <v>0</v>
      </c>
      <c r="L362" s="5">
        <f t="shared" si="50"/>
        <v>1944.4063435605713</v>
      </c>
      <c r="M362" s="10">
        <f t="shared" si="51"/>
        <v>29</v>
      </c>
      <c r="N362" s="189">
        <f>SUM(L362:L373)</f>
        <v>23332.876122726855</v>
      </c>
      <c r="O362" s="130">
        <f>IF(Principal!$D$30="Anual",IF(MOD(B362+1,12)=0,VLOOKUP(M362,'Flujos Anuales'!$B$8:$K$39,9),0),VLOOKUP(M362,'Flujos Anuales'!$B$8:$K$39,9)/12)</f>
        <v>760.4810796527081</v>
      </c>
      <c r="P362" s="120">
        <f>VLOOKUP(M362,'Flujos Anuales'!$B$8:$K$39,10)/12</f>
        <v>46.374009710711398</v>
      </c>
      <c r="Q362" s="120">
        <f t="shared" si="52"/>
        <v>2751.2614329239909</v>
      </c>
    </row>
    <row r="363" spans="2:17" x14ac:dyDescent="0.35">
      <c r="B363" s="10">
        <v>349</v>
      </c>
      <c r="C363" s="11">
        <f t="shared" si="46"/>
        <v>1517.9455240683837</v>
      </c>
      <c r="D363" s="11">
        <f t="shared" si="47"/>
        <v>102.33462626332546</v>
      </c>
      <c r="E363" s="11">
        <f t="shared" si="53"/>
        <v>1415.6108978050584</v>
      </c>
      <c r="F363" s="11">
        <f t="shared" si="54"/>
        <v>16127.467890193591</v>
      </c>
      <c r="H363" s="129">
        <f>IF(Principal!$D$25="Anual",IF(MOD(B363+1,12)=0,$W$2*((1+$W$3)^M363),0),$W$2*((1+$W$3)^M363)/12)</f>
        <v>426.46081949218745</v>
      </c>
      <c r="I363" s="68">
        <f t="shared" si="48"/>
        <v>2191.5782685605714</v>
      </c>
      <c r="J363" s="43">
        <f>SUM($I$14:I363)</f>
        <v>750676.42698925908</v>
      </c>
      <c r="K363" s="11">
        <f t="shared" si="49"/>
        <v>0</v>
      </c>
      <c r="L363" s="5">
        <f t="shared" si="50"/>
        <v>1944.4063435605713</v>
      </c>
      <c r="M363" s="10">
        <f t="shared" si="51"/>
        <v>29</v>
      </c>
      <c r="N363" s="189"/>
      <c r="O363" s="130">
        <f>IF(Principal!$D$30="Anual",IF(MOD(B363+1,12)=0,VLOOKUP(M363,'Flujos Anuales'!$B$8:$K$39,9),0),VLOOKUP(M363,'Flujos Anuales'!$B$8:$K$39,9)/12)</f>
        <v>760.4810796527081</v>
      </c>
      <c r="P363" s="120">
        <f>VLOOKUP(M363,'Flujos Anuales'!$B$8:$K$39,10)/12</f>
        <v>46.374009710711398</v>
      </c>
      <c r="Q363" s="120">
        <f t="shared" si="52"/>
        <v>2751.2614329239909</v>
      </c>
    </row>
    <row r="364" spans="2:17" x14ac:dyDescent="0.35">
      <c r="B364" s="10">
        <v>350</v>
      </c>
      <c r="C364" s="11">
        <f t="shared" si="46"/>
        <v>1517.9455240683837</v>
      </c>
      <c r="D364" s="11">
        <f t="shared" si="47"/>
        <v>94.07689602612929</v>
      </c>
      <c r="E364" s="11">
        <f t="shared" si="53"/>
        <v>1423.8686280422544</v>
      </c>
      <c r="F364" s="11">
        <f t="shared" si="54"/>
        <v>14703.599262151336</v>
      </c>
      <c r="H364" s="129">
        <f>IF(Principal!$D$25="Anual",IF(MOD(B364+1,12)=0,$W$2*((1+$W$3)^M364),0),$W$2*((1+$W$3)^M364)/12)</f>
        <v>426.46081949218745</v>
      </c>
      <c r="I364" s="68">
        <f t="shared" si="48"/>
        <v>2191.5782685605714</v>
      </c>
      <c r="J364" s="43">
        <f>SUM($I$14:I364)</f>
        <v>752868.00525781966</v>
      </c>
      <c r="K364" s="11">
        <f t="shared" si="49"/>
        <v>0</v>
      </c>
      <c r="L364" s="5">
        <f t="shared" si="50"/>
        <v>1944.4063435605713</v>
      </c>
      <c r="M364" s="10">
        <f t="shared" si="51"/>
        <v>29</v>
      </c>
      <c r="N364" s="189"/>
      <c r="O364" s="130">
        <f>IF(Principal!$D$30="Anual",IF(MOD(B364+1,12)=0,VLOOKUP(M364,'Flujos Anuales'!$B$8:$K$39,9),0),VLOOKUP(M364,'Flujos Anuales'!$B$8:$K$39,9)/12)</f>
        <v>760.4810796527081</v>
      </c>
      <c r="P364" s="120">
        <f>VLOOKUP(M364,'Flujos Anuales'!$B$8:$K$39,10)/12</f>
        <v>46.374009710711398</v>
      </c>
      <c r="Q364" s="120">
        <f t="shared" si="52"/>
        <v>2751.2614329239909</v>
      </c>
    </row>
    <row r="365" spans="2:17" x14ac:dyDescent="0.35">
      <c r="B365" s="10">
        <v>351</v>
      </c>
      <c r="C365" s="11">
        <f t="shared" si="46"/>
        <v>1517.9455240683837</v>
      </c>
      <c r="D365" s="11">
        <f t="shared" si="47"/>
        <v>85.770995695882803</v>
      </c>
      <c r="E365" s="11">
        <f t="shared" si="53"/>
        <v>1432.1745283725008</v>
      </c>
      <c r="F365" s="11">
        <f t="shared" si="54"/>
        <v>13271.424733778835</v>
      </c>
      <c r="H365" s="129">
        <f>IF(Principal!$D$25="Anual",IF(MOD(B365+1,12)=0,$W$2*((1+$W$3)^M365),0),$W$2*((1+$W$3)^M365)/12)</f>
        <v>426.46081949218745</v>
      </c>
      <c r="I365" s="68">
        <f t="shared" si="48"/>
        <v>2191.5782685605714</v>
      </c>
      <c r="J365" s="43">
        <f>SUM($I$14:I365)</f>
        <v>755059.58352638024</v>
      </c>
      <c r="K365" s="11">
        <f t="shared" si="49"/>
        <v>0</v>
      </c>
      <c r="L365" s="5">
        <f t="shared" si="50"/>
        <v>1944.4063435605713</v>
      </c>
      <c r="M365" s="10">
        <f t="shared" si="51"/>
        <v>29</v>
      </c>
      <c r="N365" s="189"/>
      <c r="O365" s="130">
        <f>IF(Principal!$D$30="Anual",IF(MOD(B365+1,12)=0,VLOOKUP(M365,'Flujos Anuales'!$B$8:$K$39,9),0),VLOOKUP(M365,'Flujos Anuales'!$B$8:$K$39,9)/12)</f>
        <v>760.4810796527081</v>
      </c>
      <c r="P365" s="120">
        <f>VLOOKUP(M365,'Flujos Anuales'!$B$8:$K$39,10)/12</f>
        <v>46.374009710711398</v>
      </c>
      <c r="Q365" s="120">
        <f t="shared" si="52"/>
        <v>2751.2614329239909</v>
      </c>
    </row>
    <row r="366" spans="2:17" x14ac:dyDescent="0.35">
      <c r="B366" s="10">
        <v>352</v>
      </c>
      <c r="C366" s="11">
        <f t="shared" si="46"/>
        <v>1517.9455240683837</v>
      </c>
      <c r="D366" s="11">
        <f t="shared" si="47"/>
        <v>77.416644280376545</v>
      </c>
      <c r="E366" s="11">
        <f t="shared" si="53"/>
        <v>1440.5288797880071</v>
      </c>
      <c r="F366" s="11">
        <f t="shared" si="54"/>
        <v>11830.895853990827</v>
      </c>
      <c r="H366" s="129">
        <f>IF(Principal!$D$25="Anual",IF(MOD(B366+1,12)=0,$W$2*((1+$W$3)^M366),0),$W$2*((1+$W$3)^M366)/12)</f>
        <v>426.46081949218745</v>
      </c>
      <c r="I366" s="68">
        <f t="shared" si="48"/>
        <v>2191.5782685605714</v>
      </c>
      <c r="J366" s="43">
        <f>SUM($I$14:I366)</f>
        <v>757251.16179494082</v>
      </c>
      <c r="K366" s="11">
        <f t="shared" si="49"/>
        <v>0</v>
      </c>
      <c r="L366" s="5">
        <f t="shared" si="50"/>
        <v>1944.4063435605713</v>
      </c>
      <c r="M366" s="10">
        <f t="shared" si="51"/>
        <v>29</v>
      </c>
      <c r="N366" s="189"/>
      <c r="O366" s="130">
        <f>IF(Principal!$D$30="Anual",IF(MOD(B366+1,12)=0,VLOOKUP(M366,'Flujos Anuales'!$B$8:$K$39,9),0),VLOOKUP(M366,'Flujos Anuales'!$B$8:$K$39,9)/12)</f>
        <v>760.4810796527081</v>
      </c>
      <c r="P366" s="120">
        <f>VLOOKUP(M366,'Flujos Anuales'!$B$8:$K$39,10)/12</f>
        <v>46.374009710711398</v>
      </c>
      <c r="Q366" s="120">
        <f t="shared" si="52"/>
        <v>2751.2614329239909</v>
      </c>
    </row>
    <row r="367" spans="2:17" x14ac:dyDescent="0.35">
      <c r="B367" s="10">
        <v>353</v>
      </c>
      <c r="C367" s="11">
        <f t="shared" si="46"/>
        <v>1517.9455240683837</v>
      </c>
      <c r="D367" s="11">
        <f t="shared" si="47"/>
        <v>69.013559148279825</v>
      </c>
      <c r="E367" s="11">
        <f t="shared" si="53"/>
        <v>1448.9319649201038</v>
      </c>
      <c r="F367" s="11">
        <f t="shared" si="54"/>
        <v>10381.963889070723</v>
      </c>
      <c r="H367" s="129">
        <f>IF(Principal!$D$25="Anual",IF(MOD(B367+1,12)=0,$W$2*((1+$W$3)^M367),0),$W$2*((1+$W$3)^M367)/12)</f>
        <v>426.46081949218745</v>
      </c>
      <c r="I367" s="68">
        <f t="shared" si="48"/>
        <v>2191.5782685605714</v>
      </c>
      <c r="J367" s="43">
        <f>SUM($I$14:I367)</f>
        <v>759442.74006350141</v>
      </c>
      <c r="K367" s="11">
        <f t="shared" si="49"/>
        <v>0</v>
      </c>
      <c r="L367" s="5">
        <f t="shared" si="50"/>
        <v>1944.4063435605713</v>
      </c>
      <c r="M367" s="10">
        <f t="shared" si="51"/>
        <v>29</v>
      </c>
      <c r="N367" s="189"/>
      <c r="O367" s="130">
        <f>IF(Principal!$D$30="Anual",IF(MOD(B367+1,12)=0,VLOOKUP(M367,'Flujos Anuales'!$B$8:$K$39,9),0),VLOOKUP(M367,'Flujos Anuales'!$B$8:$K$39,9)/12)</f>
        <v>760.4810796527081</v>
      </c>
      <c r="P367" s="120">
        <f>VLOOKUP(M367,'Flujos Anuales'!$B$8:$K$39,10)/12</f>
        <v>46.374009710711398</v>
      </c>
      <c r="Q367" s="120">
        <f t="shared" si="52"/>
        <v>2751.2614329239909</v>
      </c>
    </row>
    <row r="368" spans="2:17" x14ac:dyDescent="0.35">
      <c r="B368" s="10">
        <v>354</v>
      </c>
      <c r="C368" s="11">
        <f t="shared" si="46"/>
        <v>1517.9455240683837</v>
      </c>
      <c r="D368" s="11">
        <f t="shared" si="47"/>
        <v>60.561456019579218</v>
      </c>
      <c r="E368" s="11">
        <f t="shared" si="53"/>
        <v>1457.3840680488045</v>
      </c>
      <c r="F368" s="11">
        <f t="shared" si="54"/>
        <v>8924.5798210219182</v>
      </c>
      <c r="H368" s="129">
        <f>IF(Principal!$D$25="Anual",IF(MOD(B368+1,12)=0,$W$2*((1+$W$3)^M368),0),$W$2*((1+$W$3)^M368)/12)</f>
        <v>426.46081949218745</v>
      </c>
      <c r="I368" s="68">
        <f t="shared" si="48"/>
        <v>2191.5782685605714</v>
      </c>
      <c r="J368" s="43">
        <f>SUM($I$14:I368)</f>
        <v>761634.31833206199</v>
      </c>
      <c r="K368" s="11">
        <f t="shared" si="49"/>
        <v>0</v>
      </c>
      <c r="L368" s="5">
        <f t="shared" si="50"/>
        <v>1944.4063435605713</v>
      </c>
      <c r="M368" s="10">
        <f t="shared" si="51"/>
        <v>29</v>
      </c>
      <c r="N368" s="189"/>
      <c r="O368" s="130">
        <f>IF(Principal!$D$30="Anual",IF(MOD(B368+1,12)=0,VLOOKUP(M368,'Flujos Anuales'!$B$8:$K$39,9),0),VLOOKUP(M368,'Flujos Anuales'!$B$8:$K$39,9)/12)</f>
        <v>760.4810796527081</v>
      </c>
      <c r="P368" s="120">
        <f>VLOOKUP(M368,'Flujos Anuales'!$B$8:$K$39,10)/12</f>
        <v>46.374009710711398</v>
      </c>
      <c r="Q368" s="120">
        <f t="shared" si="52"/>
        <v>2751.2614329239909</v>
      </c>
    </row>
    <row r="369" spans="2:17" x14ac:dyDescent="0.35">
      <c r="B369" s="10">
        <v>355</v>
      </c>
      <c r="C369" s="11">
        <f t="shared" si="46"/>
        <v>1517.9455240683837</v>
      </c>
      <c r="D369" s="11">
        <f t="shared" si="47"/>
        <v>52.060048955961193</v>
      </c>
      <c r="E369" s="11">
        <f t="shared" si="53"/>
        <v>1465.8854751124225</v>
      </c>
      <c r="F369" s="11">
        <f t="shared" si="54"/>
        <v>7458.6943459094955</v>
      </c>
      <c r="H369" s="129">
        <f>IF(Principal!$D$25="Anual",IF(MOD(B369+1,12)=0,$W$2*((1+$W$3)^M369),0),$W$2*((1+$W$3)^M369)/12)</f>
        <v>426.46081949218745</v>
      </c>
      <c r="I369" s="68">
        <f t="shared" si="48"/>
        <v>2191.5782685605714</v>
      </c>
      <c r="J369" s="43">
        <f>SUM($I$14:I369)</f>
        <v>763825.89660062257</v>
      </c>
      <c r="K369" s="11">
        <f t="shared" si="49"/>
        <v>0</v>
      </c>
      <c r="L369" s="5">
        <f t="shared" si="50"/>
        <v>1944.4063435605713</v>
      </c>
      <c r="M369" s="10">
        <f t="shared" si="51"/>
        <v>29</v>
      </c>
      <c r="N369" s="189"/>
      <c r="O369" s="130">
        <f>IF(Principal!$D$30="Anual",IF(MOD(B369+1,12)=0,VLOOKUP(M369,'Flujos Anuales'!$B$8:$K$39,9),0),VLOOKUP(M369,'Flujos Anuales'!$B$8:$K$39,9)/12)</f>
        <v>760.4810796527081</v>
      </c>
      <c r="P369" s="120">
        <f>VLOOKUP(M369,'Flujos Anuales'!$B$8:$K$39,10)/12</f>
        <v>46.374009710711398</v>
      </c>
      <c r="Q369" s="120">
        <f t="shared" si="52"/>
        <v>2751.2614329239909</v>
      </c>
    </row>
    <row r="370" spans="2:17" x14ac:dyDescent="0.35">
      <c r="B370" s="10">
        <v>356</v>
      </c>
      <c r="C370" s="11">
        <f t="shared" si="46"/>
        <v>1517.9455240683837</v>
      </c>
      <c r="D370" s="11">
        <f t="shared" si="47"/>
        <v>43.509050351138725</v>
      </c>
      <c r="E370" s="11">
        <f t="shared" si="53"/>
        <v>1474.436473717245</v>
      </c>
      <c r="F370" s="11">
        <f t="shared" si="54"/>
        <v>5984.2578721922509</v>
      </c>
      <c r="H370" s="129">
        <f>IF(Principal!$D$25="Anual",IF(MOD(B370+1,12)=0,$W$2*((1+$W$3)^M370),0),$W$2*((1+$W$3)^M370)/12)</f>
        <v>426.46081949218745</v>
      </c>
      <c r="I370" s="68">
        <f t="shared" si="48"/>
        <v>2191.5782685605714</v>
      </c>
      <c r="J370" s="43">
        <f>SUM($I$14:I370)</f>
        <v>766017.47486918315</v>
      </c>
      <c r="K370" s="11">
        <f t="shared" si="49"/>
        <v>0</v>
      </c>
      <c r="L370" s="5">
        <f t="shared" si="50"/>
        <v>1944.4063435605713</v>
      </c>
      <c r="M370" s="10">
        <f t="shared" si="51"/>
        <v>29</v>
      </c>
      <c r="N370" s="189"/>
      <c r="O370" s="130">
        <f>IF(Principal!$D$30="Anual",IF(MOD(B370+1,12)=0,VLOOKUP(M370,'Flujos Anuales'!$B$8:$K$39,9),0),VLOOKUP(M370,'Flujos Anuales'!$B$8:$K$39,9)/12)</f>
        <v>760.4810796527081</v>
      </c>
      <c r="P370" s="120">
        <f>VLOOKUP(M370,'Flujos Anuales'!$B$8:$K$39,10)/12</f>
        <v>46.374009710711398</v>
      </c>
      <c r="Q370" s="120">
        <f t="shared" si="52"/>
        <v>2751.2614329239909</v>
      </c>
    </row>
    <row r="371" spans="2:17" x14ac:dyDescent="0.35">
      <c r="B371" s="10">
        <v>357</v>
      </c>
      <c r="C371" s="11">
        <f t="shared" si="46"/>
        <v>1517.9455240683837</v>
      </c>
      <c r="D371" s="11">
        <f t="shared" si="47"/>
        <v>34.908170921121467</v>
      </c>
      <c r="E371" s="11">
        <f t="shared" si="53"/>
        <v>1483.0373531472624</v>
      </c>
      <c r="F371" s="11">
        <f t="shared" si="54"/>
        <v>4501.2205190449886</v>
      </c>
      <c r="H371" s="129">
        <f>IF(Principal!$D$25="Anual",IF(MOD(B371+1,12)=0,$W$2*((1+$W$3)^M371),0),$W$2*((1+$W$3)^M371)/12)</f>
        <v>426.46081949218745</v>
      </c>
      <c r="I371" s="68">
        <f t="shared" si="48"/>
        <v>2191.5782685605714</v>
      </c>
      <c r="J371" s="43">
        <f>SUM($I$14:I371)</f>
        <v>768209.05313774373</v>
      </c>
      <c r="K371" s="11">
        <f t="shared" si="49"/>
        <v>0</v>
      </c>
      <c r="L371" s="5">
        <f t="shared" si="50"/>
        <v>1944.4063435605713</v>
      </c>
      <c r="M371" s="10">
        <f t="shared" si="51"/>
        <v>29</v>
      </c>
      <c r="N371" s="189"/>
      <c r="O371" s="130">
        <f>IF(Principal!$D$30="Anual",IF(MOD(B371+1,12)=0,VLOOKUP(M371,'Flujos Anuales'!$B$8:$K$39,9),0),VLOOKUP(M371,'Flujos Anuales'!$B$8:$K$39,9)/12)</f>
        <v>760.4810796527081</v>
      </c>
      <c r="P371" s="120">
        <f>VLOOKUP(M371,'Flujos Anuales'!$B$8:$K$39,10)/12</f>
        <v>46.374009710711398</v>
      </c>
      <c r="Q371" s="120">
        <f t="shared" si="52"/>
        <v>2751.2614329239909</v>
      </c>
    </row>
    <row r="372" spans="2:17" x14ac:dyDescent="0.35">
      <c r="B372" s="10">
        <v>358</v>
      </c>
      <c r="C372" s="11">
        <f t="shared" si="46"/>
        <v>1517.9455240683837</v>
      </c>
      <c r="D372" s="11">
        <f t="shared" si="47"/>
        <v>26.2571196944291</v>
      </c>
      <c r="E372" s="11">
        <f t="shared" si="53"/>
        <v>1491.6884043739547</v>
      </c>
      <c r="F372" s="11">
        <f t="shared" si="54"/>
        <v>3009.5321146710339</v>
      </c>
      <c r="H372" s="129">
        <f>IF(Principal!$D$25="Anual",IF(MOD(B372+1,12)=0,$W$2*((1+$W$3)^M372),0),$W$2*((1+$W$3)^M372)/12)</f>
        <v>426.46081949218745</v>
      </c>
      <c r="I372" s="68">
        <f t="shared" si="48"/>
        <v>2191.5782685605714</v>
      </c>
      <c r="J372" s="43">
        <f>SUM($I$14:I372)</f>
        <v>770400.63140630431</v>
      </c>
      <c r="K372" s="11">
        <f t="shared" si="49"/>
        <v>0</v>
      </c>
      <c r="L372" s="5">
        <f t="shared" si="50"/>
        <v>1944.4063435605713</v>
      </c>
      <c r="M372" s="10">
        <f t="shared" si="51"/>
        <v>29</v>
      </c>
      <c r="N372" s="189"/>
      <c r="O372" s="130">
        <f>IF(Principal!$D$30="Anual",IF(MOD(B372+1,12)=0,VLOOKUP(M372,'Flujos Anuales'!$B$8:$K$39,9),0),VLOOKUP(M372,'Flujos Anuales'!$B$8:$K$39,9)/12)</f>
        <v>760.4810796527081</v>
      </c>
      <c r="P372" s="120">
        <f>VLOOKUP(M372,'Flujos Anuales'!$B$8:$K$39,10)/12</f>
        <v>46.374009710711398</v>
      </c>
      <c r="Q372" s="120">
        <f t="shared" si="52"/>
        <v>2751.2614329239909</v>
      </c>
    </row>
    <row r="373" spans="2:17" x14ac:dyDescent="0.35">
      <c r="B373" s="10">
        <v>359</v>
      </c>
      <c r="C373" s="11">
        <f t="shared" si="46"/>
        <v>1517.9455240683837</v>
      </c>
      <c r="D373" s="11">
        <f t="shared" si="47"/>
        <v>17.555604002247698</v>
      </c>
      <c r="E373" s="11">
        <f t="shared" si="53"/>
        <v>1500.389920066136</v>
      </c>
      <c r="F373" s="11">
        <f t="shared" si="54"/>
        <v>1509.1421946048979</v>
      </c>
      <c r="H373" s="129">
        <f>IF(Principal!$D$25="Anual",IF(MOD(B373+1,12)=0,$W$2*((1+$W$3)^M373),0),$W$2*((1+$W$3)^M373)/12)</f>
        <v>426.46081949218745</v>
      </c>
      <c r="I373" s="68">
        <f t="shared" si="48"/>
        <v>2191.5782685605714</v>
      </c>
      <c r="J373" s="43">
        <f>SUM($I$14:I373)</f>
        <v>772592.20967486489</v>
      </c>
      <c r="K373" s="11">
        <f t="shared" si="49"/>
        <v>0</v>
      </c>
      <c r="L373" s="5">
        <f t="shared" si="50"/>
        <v>1944.4063435605713</v>
      </c>
      <c r="M373" s="10">
        <f t="shared" si="51"/>
        <v>29</v>
      </c>
      <c r="N373" s="189"/>
      <c r="O373" s="130">
        <f>IF(Principal!$D$30="Anual",IF(MOD(B373+1,12)=0,VLOOKUP(M373,'Flujos Anuales'!$B$8:$K$39,9),0),VLOOKUP(M373,'Flujos Anuales'!$B$8:$K$39,9)/12)</f>
        <v>760.4810796527081</v>
      </c>
      <c r="P373" s="120">
        <f>VLOOKUP(M373,'Flujos Anuales'!$B$8:$K$39,10)/12</f>
        <v>46.374009710711398</v>
      </c>
      <c r="Q373" s="120">
        <f t="shared" si="52"/>
        <v>2751.2614329239909</v>
      </c>
    </row>
    <row r="374" spans="2:17" x14ac:dyDescent="0.35">
      <c r="B374" s="10">
        <v>360</v>
      </c>
      <c r="C374" s="11">
        <f t="shared" si="46"/>
        <v>1517.9455240683837</v>
      </c>
      <c r="D374" s="11">
        <f t="shared" si="47"/>
        <v>8.8033294685285721</v>
      </c>
      <c r="E374" s="11">
        <f t="shared" si="53"/>
        <v>1509.1421945998552</v>
      </c>
      <c r="F374" s="11">
        <f t="shared" si="54"/>
        <v>5.0426933739800006E-9</v>
      </c>
      <c r="H374" s="129">
        <f>IF(Principal!$D$25="Anual",IF(MOD(B374+1,12)=0,$W$2*((1+$W$3)^M374),0),$W$2*((1+$W$3)^M374)/12)</f>
        <v>429.38979047084086</v>
      </c>
      <c r="I374" s="68">
        <f t="shared" si="48"/>
        <v>2194.5072395392244</v>
      </c>
      <c r="J374" s="43">
        <f>SUM($I$14:I374)</f>
        <v>774786.71691440407</v>
      </c>
      <c r="K374" s="11">
        <f t="shared" si="49"/>
        <v>0</v>
      </c>
      <c r="L374" s="5">
        <f t="shared" si="50"/>
        <v>1947.3353145392243</v>
      </c>
      <c r="M374" s="10">
        <f t="shared" si="51"/>
        <v>30</v>
      </c>
      <c r="N374" s="43">
        <f>L374</f>
        <v>1947.3353145392243</v>
      </c>
      <c r="O374" s="130">
        <f>IF(Principal!$D$30="Anual",IF(MOD(B374+1,12)=0,VLOOKUP(M374,'Flujos Anuales'!$B$8:$K$39,9),0),VLOOKUP(M374,'Flujos Anuales'!$B$8:$K$39,9)/12)</f>
        <v>795.21595052659359</v>
      </c>
      <c r="P374" s="120">
        <f>VLOOKUP(M374,'Flujos Anuales'!$B$8:$K$39,10)/12</f>
        <v>46.837749807818511</v>
      </c>
      <c r="Q374" s="120">
        <f t="shared" si="52"/>
        <v>2789.3890148736364</v>
      </c>
    </row>
  </sheetData>
  <mergeCells count="32">
    <mergeCell ref="N134:N145"/>
    <mergeCell ref="N14:N25"/>
    <mergeCell ref="N26:N37"/>
    <mergeCell ref="N38:N49"/>
    <mergeCell ref="N50:N61"/>
    <mergeCell ref="N62:N73"/>
    <mergeCell ref="N74:N85"/>
    <mergeCell ref="N86:N97"/>
    <mergeCell ref="N98:N109"/>
    <mergeCell ref="N110:N121"/>
    <mergeCell ref="N122:N133"/>
    <mergeCell ref="N218:N229"/>
    <mergeCell ref="N230:N241"/>
    <mergeCell ref="N242:N253"/>
    <mergeCell ref="N254:N265"/>
    <mergeCell ref="N266:N277"/>
    <mergeCell ref="S1:T1"/>
    <mergeCell ref="B2:Q3"/>
    <mergeCell ref="N362:N373"/>
    <mergeCell ref="N290:N301"/>
    <mergeCell ref="N302:N313"/>
    <mergeCell ref="N314:N325"/>
    <mergeCell ref="N326:N337"/>
    <mergeCell ref="N338:N349"/>
    <mergeCell ref="N350:N361"/>
    <mergeCell ref="N278:N289"/>
    <mergeCell ref="N146:N157"/>
    <mergeCell ref="N158:N169"/>
    <mergeCell ref="N170:N181"/>
    <mergeCell ref="N182:N193"/>
    <mergeCell ref="N194:N205"/>
    <mergeCell ref="N206:N21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7B0A-2291-4EAF-8A7A-5A2B812828F5}">
  <sheetPr>
    <tabColor theme="4" tint="-0.249977111117893"/>
  </sheetPr>
  <dimension ref="B1:AE53"/>
  <sheetViews>
    <sheetView zoomScale="85" zoomScaleNormal="85" workbookViewId="0">
      <pane ySplit="4" topLeftCell="A5" activePane="bottomLeft" state="frozen"/>
      <selection pane="bottomLeft" activeCell="U33" sqref="U33"/>
    </sheetView>
  </sheetViews>
  <sheetFormatPr defaultRowHeight="14.5" x14ac:dyDescent="0.35"/>
  <cols>
    <col min="1" max="1" width="1.54296875" style="1" customWidth="1"/>
    <col min="2" max="2" width="7.36328125" style="1" bestFit="1" customWidth="1"/>
    <col min="3" max="3" width="4.90625" style="14" bestFit="1" customWidth="1"/>
    <col min="4" max="4" width="1.54296875" style="1" customWidth="1"/>
    <col min="5" max="5" width="14" style="1" bestFit="1" customWidth="1"/>
    <col min="6" max="6" width="12.08984375" style="1" bestFit="1" customWidth="1"/>
    <col min="7" max="7" width="13.6328125" style="1" bestFit="1" customWidth="1"/>
    <col min="8" max="8" width="1.54296875" style="1" customWidth="1"/>
    <col min="9" max="9" width="17.26953125" style="1" customWidth="1"/>
    <col min="10" max="10" width="14" style="1" bestFit="1" customWidth="1"/>
    <col min="11" max="11" width="11" style="1" bestFit="1" customWidth="1"/>
    <col min="12" max="12" width="13" style="1" customWidth="1"/>
    <col min="13" max="13" width="14.26953125" style="1" bestFit="1" customWidth="1"/>
    <col min="14" max="14" width="1.54296875" style="1" customWidth="1"/>
    <col min="15" max="15" width="13.453125" style="1" hidden="1" customWidth="1"/>
    <col min="16" max="16" width="12.90625" style="1" hidden="1" customWidth="1"/>
    <col min="17" max="17" width="12.81640625" style="1" hidden="1" customWidth="1"/>
    <col min="18" max="18" width="2.36328125" style="1" hidden="1" customWidth="1"/>
    <col min="19" max="19" width="10.08984375" style="1" hidden="1" customWidth="1"/>
    <col min="20" max="20" width="13.26953125" style="1" hidden="1" customWidth="1"/>
    <col min="21" max="22" width="13.26953125" style="1" bestFit="1" customWidth="1"/>
    <col min="23" max="23" width="15.1796875" style="1" customWidth="1"/>
    <col min="24" max="24" width="2.36328125" style="1" customWidth="1"/>
    <col min="25" max="25" width="31.1796875" style="1" hidden="1" customWidth="1"/>
    <col min="26" max="26" width="14" style="1" hidden="1" customWidth="1"/>
    <col min="27" max="27" width="2.36328125" style="1" hidden="1" customWidth="1"/>
    <col min="28" max="28" width="18.7265625" style="1" hidden="1" customWidth="1"/>
    <col min="29" max="29" width="15.453125" style="1" hidden="1" customWidth="1"/>
    <col min="30" max="30" width="3.6328125" style="1" hidden="1" customWidth="1"/>
    <col min="31" max="31" width="15.453125" style="1" hidden="1" customWidth="1"/>
    <col min="32" max="16384" width="8.7265625" style="1"/>
  </cols>
  <sheetData>
    <row r="1" spans="2:31" ht="7" customHeight="1" x14ac:dyDescent="0.35">
      <c r="B1" s="84"/>
      <c r="C1" s="89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R1" s="84"/>
      <c r="S1" s="84"/>
      <c r="T1" s="84"/>
      <c r="U1" s="84"/>
      <c r="V1" s="84"/>
      <c r="W1" s="84"/>
    </row>
    <row r="2" spans="2:31" x14ac:dyDescent="0.35">
      <c r="B2" s="84"/>
      <c r="C2" s="89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R2" s="84"/>
      <c r="S2" s="84"/>
      <c r="T2" s="84"/>
      <c r="U2" s="84"/>
      <c r="V2" s="84"/>
      <c r="W2" s="84"/>
    </row>
    <row r="3" spans="2:31" x14ac:dyDescent="0.35">
      <c r="B3" s="84"/>
      <c r="C3" s="89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R3" s="84"/>
      <c r="S3" s="84"/>
      <c r="T3" s="84"/>
      <c r="U3" s="84"/>
      <c r="V3" s="84"/>
      <c r="W3" s="84"/>
    </row>
    <row r="5" spans="2:31" x14ac:dyDescent="0.35">
      <c r="Z5" s="163"/>
    </row>
    <row r="6" spans="2:31" ht="15.5" x14ac:dyDescent="0.35">
      <c r="E6" s="150">
        <f>Plusvalia!J8</f>
        <v>4.56748652967775E-2</v>
      </c>
      <c r="F6" s="118"/>
      <c r="G6" s="151"/>
      <c r="H6" s="119"/>
      <c r="I6" s="118"/>
      <c r="J6" s="155">
        <v>0.01</v>
      </c>
      <c r="K6" s="156">
        <v>0.01</v>
      </c>
      <c r="L6" s="152"/>
      <c r="M6" s="153"/>
      <c r="N6" s="151"/>
      <c r="O6" s="167" t="s">
        <v>196</v>
      </c>
      <c r="P6" s="168"/>
      <c r="Q6" s="167"/>
      <c r="R6" s="169"/>
      <c r="S6" s="167"/>
      <c r="T6" s="170"/>
      <c r="U6" s="167" t="s">
        <v>224</v>
      </c>
      <c r="V6" s="171"/>
      <c r="W6" s="171"/>
      <c r="Z6" s="163"/>
      <c r="AB6" s="166" t="s">
        <v>243</v>
      </c>
      <c r="AC6" s="165"/>
    </row>
    <row r="7" spans="2:31" ht="21" x14ac:dyDescent="0.35">
      <c r="E7" s="132" t="s">
        <v>199</v>
      </c>
      <c r="F7" s="119"/>
      <c r="G7" s="132"/>
      <c r="H7" s="119"/>
      <c r="I7" s="118"/>
      <c r="J7" s="132" t="s">
        <v>198</v>
      </c>
      <c r="K7" s="132" t="s">
        <v>199</v>
      </c>
      <c r="L7" s="118"/>
      <c r="M7" s="132"/>
      <c r="N7" s="151"/>
      <c r="P7" s="121"/>
      <c r="Q7" s="162" t="s">
        <v>225</v>
      </c>
      <c r="R7" s="151"/>
      <c r="S7" s="151"/>
      <c r="T7" s="154"/>
      <c r="V7" s="128"/>
      <c r="W7" s="162" t="s">
        <v>230</v>
      </c>
      <c r="Z7" s="163"/>
      <c r="AB7" s="163"/>
      <c r="AC7" s="14" t="s">
        <v>234</v>
      </c>
    </row>
    <row r="8" spans="2:31" s="135" customFormat="1" ht="72.5" x14ac:dyDescent="0.35">
      <c r="B8" s="134" t="s">
        <v>193</v>
      </c>
      <c r="C8" s="134" t="s">
        <v>185</v>
      </c>
      <c r="E8" s="134" t="s">
        <v>140</v>
      </c>
      <c r="F8" s="134" t="s">
        <v>143</v>
      </c>
      <c r="G8" s="134" t="s">
        <v>213</v>
      </c>
      <c r="I8" s="134" t="str">
        <f>'Flujos Mensuales'!N13</f>
        <v>Pago Annual Mortgage
(Intereses, Capital, impuestos, seguro del credito)</v>
      </c>
      <c r="J8" s="134" t="s">
        <v>138</v>
      </c>
      <c r="K8" s="134" t="s">
        <v>139</v>
      </c>
      <c r="L8" s="134" t="s">
        <v>194</v>
      </c>
      <c r="M8" s="134" t="s">
        <v>212</v>
      </c>
      <c r="O8" s="134" t="s">
        <v>197</v>
      </c>
      <c r="P8" s="142" t="s">
        <v>201</v>
      </c>
      <c r="Q8" s="134" t="s">
        <v>200</v>
      </c>
      <c r="S8" s="136" t="s">
        <v>192</v>
      </c>
      <c r="T8" s="137" t="s">
        <v>227</v>
      </c>
      <c r="U8" s="134" t="s">
        <v>256</v>
      </c>
      <c r="V8" s="134" t="s">
        <v>226</v>
      </c>
      <c r="W8" s="134" t="s">
        <v>229</v>
      </c>
      <c r="Y8" s="134" t="s">
        <v>228</v>
      </c>
      <c r="Z8" s="142" t="s">
        <v>36</v>
      </c>
      <c r="AB8" s="134" t="s">
        <v>238</v>
      </c>
      <c r="AC8" s="134" t="s">
        <v>218</v>
      </c>
      <c r="AE8" s="134" t="s">
        <v>257</v>
      </c>
    </row>
    <row r="9" spans="2:31" ht="15.5" x14ac:dyDescent="0.35">
      <c r="B9" s="16">
        <v>0</v>
      </c>
      <c r="C9" s="16">
        <f>Plusvalia!C11</f>
        <v>2025</v>
      </c>
      <c r="E9" s="87">
        <f>Plusvalia!D11</f>
        <v>249900</v>
      </c>
      <c r="F9" s="87">
        <f>VLOOKUP((B9*12)+11,'Flujos Mensuales'!$B$13:$F$374,5,FALSE)</f>
        <v>226040.41791855183</v>
      </c>
      <c r="G9" s="87">
        <f t="shared" ref="G9:G42" si="0">E9-F9</f>
        <v>23859.58208144817</v>
      </c>
      <c r="I9" s="87">
        <f>VLOOKUP(B9,'Flujos Mensuales'!$M$13:$N$374,2,FALSE)</f>
        <v>23262.803930489667</v>
      </c>
      <c r="J9" s="87">
        <v>0</v>
      </c>
      <c r="K9" s="5">
        <f>(Principal!$D$44*12)*(1+$K$6*B9)</f>
        <v>417</v>
      </c>
      <c r="L9" s="5">
        <f>SUM(I9:K9)+Principal!E19</f>
        <v>70411.103930489669</v>
      </c>
      <c r="M9" s="5">
        <f>SUM(I9:K9)+Principal!E19</f>
        <v>70411.103930489669</v>
      </c>
      <c r="O9" s="143">
        <f t="shared" ref="O9:O38" si="1">-L9</f>
        <v>-70411.103930489669</v>
      </c>
      <c r="P9" s="43">
        <f>O9</f>
        <v>-70411.103930489669</v>
      </c>
      <c r="Q9" s="143">
        <f>SUM(P9:P49)</f>
        <v>-281811.43167891784</v>
      </c>
      <c r="S9" s="91">
        <f>'Yield Curve'!I128/100</f>
        <v>4.0800000000000003E-2</v>
      </c>
      <c r="T9" s="101">
        <f>SUM(I9:K9)+Principal!E19</f>
        <v>70411.103930489669</v>
      </c>
      <c r="U9" s="13">
        <f>G39*(1+S39)^-B39</f>
        <v>225900.85314753422</v>
      </c>
      <c r="V9" s="13">
        <f>SUM(T9:T39)</f>
        <v>507712.28482645209</v>
      </c>
      <c r="W9" s="193">
        <f>U9-V9</f>
        <v>-281811.43167891784</v>
      </c>
      <c r="Y9" s="182">
        <f>IRR(O9:O49)</f>
        <v>2.7047600141698602E-3</v>
      </c>
      <c r="Z9" s="43">
        <f>O9/((1+$Y$9)^B9)</f>
        <v>-70411.103930489669</v>
      </c>
      <c r="AB9" s="180">
        <f>(Principal!E19/Principal!D17*'Flujos Anuales'!AB14)+(Principal!D21/Principal!D17*'Flujos Anuales'!AB16*(1-'Flujos Anuales'!AB18))</f>
        <v>5.4752000000000009E-2</v>
      </c>
      <c r="AC9" s="184" t="s">
        <v>235</v>
      </c>
      <c r="AE9" s="180">
        <f>Principal!D21/Principal!E19</f>
        <v>4.8823529411764701</v>
      </c>
    </row>
    <row r="10" spans="2:31" x14ac:dyDescent="0.35">
      <c r="B10" s="16">
        <v>1</v>
      </c>
      <c r="C10" s="16">
        <f t="shared" ref="C10:C49" si="2">C9+1</f>
        <v>2026</v>
      </c>
      <c r="E10" s="87">
        <f>Plusvalia!D12</f>
        <v>261314.14883766472</v>
      </c>
      <c r="F10" s="87">
        <f>VLOOKUP((B10*12)+11,'Flujos Mensuales'!$B$13:$F$374,5,FALSE)</f>
        <v>223569.62863461592</v>
      </c>
      <c r="G10" s="87">
        <f t="shared" si="0"/>
        <v>37744.5202030488</v>
      </c>
      <c r="I10" s="87">
        <f>VLOOKUP(B10,'Flujos Mensuales'!$M$13:$N$374,2,FALSE)</f>
        <v>25406.424128969655</v>
      </c>
      <c r="J10" s="87">
        <f>$J$6*E10</f>
        <v>2613.1414883766474</v>
      </c>
      <c r="K10" s="5">
        <f>K9*(1+$K$6*1)</f>
        <v>421.17</v>
      </c>
      <c r="L10" s="5">
        <f>SUM(I10:K10)</f>
        <v>28440.735617346301</v>
      </c>
      <c r="M10" s="5">
        <f>M9+L10</f>
        <v>98851.839547835974</v>
      </c>
      <c r="O10" s="143">
        <f t="shared" si="1"/>
        <v>-28440.735617346301</v>
      </c>
      <c r="P10" s="43">
        <f t="shared" ref="P10:P49" si="3">O10*(1+S10)^-B10</f>
        <v>-27325.8412926079</v>
      </c>
      <c r="S10" s="91">
        <f>'Yield Curve'!I128/100</f>
        <v>4.0800000000000003E-2</v>
      </c>
      <c r="T10" s="101">
        <f>SUM(I10:K10)*((1+S10)^-B10)</f>
        <v>27325.8412926079</v>
      </c>
      <c r="Y10" s="1" t="s">
        <v>231</v>
      </c>
      <c r="Z10" s="43">
        <f t="shared" ref="Z10:Z49" si="4">O10/((1+$Y$9)^B10)</f>
        <v>-28364.017756277917</v>
      </c>
      <c r="AB10" s="185" t="s">
        <v>258</v>
      </c>
      <c r="AE10" s="175" t="s">
        <v>260</v>
      </c>
    </row>
    <row r="11" spans="2:31" x14ac:dyDescent="0.35">
      <c r="B11" s="16">
        <v>2</v>
      </c>
      <c r="C11" s="16">
        <f t="shared" si="2"/>
        <v>2027</v>
      </c>
      <c r="E11" s="87">
        <f>Plusvalia!D13</f>
        <v>273249.63738596713</v>
      </c>
      <c r="F11" s="87">
        <f>VLOOKUP((B11*12)+11,'Flujos Mensuales'!$B$13:$F$374,5,FALSE)</f>
        <v>220920.22579356557</v>
      </c>
      <c r="G11" s="87">
        <f t="shared" si="0"/>
        <v>52329.411592401564</v>
      </c>
      <c r="I11" s="87">
        <f>VLOOKUP(B11,'Flujos Mensuales'!$M$13:$N$374,2,FALSE)</f>
        <v>22963.722657374281</v>
      </c>
      <c r="J11" s="87">
        <f t="shared" ref="J11:J49" si="5">$J$6*E11</f>
        <v>2732.4963738596712</v>
      </c>
      <c r="K11" s="5">
        <f t="shared" ref="K11:K49" si="6">K10*(1+$K$6*1)</f>
        <v>425.38170000000002</v>
      </c>
      <c r="L11" s="5">
        <f>SUM(I11:K11)</f>
        <v>26121.600731233953</v>
      </c>
      <c r="M11" s="5">
        <f t="shared" ref="M11:M49" si="7">M10+L11</f>
        <v>124973.44027906992</v>
      </c>
      <c r="O11" s="143">
        <f t="shared" si="1"/>
        <v>-26121.600731233953</v>
      </c>
      <c r="P11" s="43">
        <f t="shared" si="3"/>
        <v>-24197.399338441734</v>
      </c>
      <c r="S11" s="91">
        <f>'Yield Curve'!J128/100</f>
        <v>3.9E-2</v>
      </c>
      <c r="T11" s="101">
        <f t="shared" ref="T11:T49" si="8">SUM(I11:K11)*((1+S11)^-B11)</f>
        <v>24197.399338441734</v>
      </c>
      <c r="U11" s="34"/>
      <c r="V11" s="27"/>
      <c r="Y11" s="179">
        <f>SUM(Z9:Z49)</f>
        <v>1.1641532182693481E-9</v>
      </c>
      <c r="Z11" s="43">
        <f t="shared" si="4"/>
        <v>-25980.866643849742</v>
      </c>
      <c r="AB11" s="185" t="s">
        <v>259</v>
      </c>
    </row>
    <row r="12" spans="2:31" x14ac:dyDescent="0.35">
      <c r="B12" s="16">
        <v>3</v>
      </c>
      <c r="C12" s="16">
        <f t="shared" si="2"/>
        <v>2028</v>
      </c>
      <c r="E12" s="87">
        <f>Plusvalia!D14</f>
        <v>285730.27776596451</v>
      </c>
      <c r="F12" s="87">
        <f>VLOOKUP((B12*12)+11,'Flujos Mensuales'!$B$13:$F$374,5,FALSE)</f>
        <v>218079.29740691491</v>
      </c>
      <c r="G12" s="87">
        <f t="shared" si="0"/>
        <v>67650.980359049601</v>
      </c>
      <c r="I12" s="87">
        <f>VLOOKUP(B12,'Flujos Mensuales'!$M$13:$N$374,2,FALSE)</f>
        <v>22498.595882471422</v>
      </c>
      <c r="J12" s="87">
        <f t="shared" si="5"/>
        <v>2857.302777659645</v>
      </c>
      <c r="K12" s="5">
        <f t="shared" si="6"/>
        <v>429.63551700000005</v>
      </c>
      <c r="L12" s="5">
        <f t="shared" ref="L11:L49" si="9">SUM(I12:K12)</f>
        <v>25785.534177131067</v>
      </c>
      <c r="M12" s="5">
        <f t="shared" si="7"/>
        <v>150758.97445620099</v>
      </c>
      <c r="O12" s="143">
        <f t="shared" si="1"/>
        <v>-25785.534177131067</v>
      </c>
      <c r="P12" s="43">
        <f t="shared" si="3"/>
        <v>-23022.719917895232</v>
      </c>
      <c r="S12" s="91">
        <f>'Yield Curve'!K128/100</f>
        <v>3.85E-2</v>
      </c>
      <c r="T12" s="101">
        <f t="shared" si="8"/>
        <v>23022.719917895232</v>
      </c>
      <c r="V12" s="133" t="s">
        <v>93</v>
      </c>
      <c r="Y12" s="24">
        <f>NPV(Y9,O9:O49)</f>
        <v>3.4830388705431997E-10</v>
      </c>
      <c r="Z12" s="43">
        <f t="shared" si="4"/>
        <v>-25577.429889667837</v>
      </c>
    </row>
    <row r="13" spans="2:31" x14ac:dyDescent="0.35">
      <c r="B13" s="16">
        <v>4</v>
      </c>
      <c r="C13" s="16">
        <f t="shared" si="2"/>
        <v>2029</v>
      </c>
      <c r="E13" s="87">
        <f>Plusvalia!D15</f>
        <v>298780.96971413575</v>
      </c>
      <c r="F13" s="87">
        <f>VLOOKUP((B13*12)+11,'Flujos Mensuales'!$B$13:$F$374,5,FALSE)</f>
        <v>215032.9980774865</v>
      </c>
      <c r="G13" s="87">
        <f t="shared" si="0"/>
        <v>83747.97163664925</v>
      </c>
      <c r="I13" s="87">
        <f>VLOOKUP(B13,'Flujos Mensuales'!$M$13:$N$374,2,FALSE)</f>
        <v>22528.013623048566</v>
      </c>
      <c r="J13" s="87">
        <f t="shared" si="5"/>
        <v>2987.8096971413574</v>
      </c>
      <c r="K13" s="5">
        <f t="shared" si="6"/>
        <v>433.93187217000008</v>
      </c>
      <c r="L13" s="5">
        <f t="shared" si="9"/>
        <v>25949.755192359924</v>
      </c>
      <c r="M13" s="5">
        <f t="shared" si="7"/>
        <v>176708.72964856093</v>
      </c>
      <c r="O13" s="143">
        <f t="shared" si="1"/>
        <v>-25949.755192359924</v>
      </c>
      <c r="P13" s="43">
        <f t="shared" si="3"/>
        <v>-22216.11842496258</v>
      </c>
      <c r="S13" s="91">
        <f>'Yield Curve'!L128/100</f>
        <v>3.9599999999999996E-2</v>
      </c>
      <c r="T13" s="101">
        <f t="shared" si="8"/>
        <v>22216.11842496258</v>
      </c>
      <c r="V13" s="133" t="s">
        <v>92</v>
      </c>
      <c r="Z13" s="43">
        <f t="shared" si="4"/>
        <v>-25670.891943546176</v>
      </c>
      <c r="AB13" s="183" t="s">
        <v>239</v>
      </c>
    </row>
    <row r="14" spans="2:31" x14ac:dyDescent="0.35">
      <c r="B14" s="16">
        <v>5</v>
      </c>
      <c r="C14" s="16">
        <f t="shared" si="2"/>
        <v>2030</v>
      </c>
      <c r="E14" s="87">
        <f>Plusvalia!D16</f>
        <v>312427.75025906949</v>
      </c>
      <c r="F14" s="87">
        <f>VLOOKUP((B14*12)+11,'Flujos Mensuales'!$B$13:$F$374,5,FALSE)</f>
        <v>211766.48152322142</v>
      </c>
      <c r="G14" s="87">
        <f t="shared" si="0"/>
        <v>100661.26873584808</v>
      </c>
      <c r="I14" s="87">
        <f>VLOOKUP(B14,'Flujos Mensuales'!$M$13:$N$374,2,FALSE)</f>
        <v>22557.633407294121</v>
      </c>
      <c r="J14" s="87">
        <f t="shared" si="5"/>
        <v>3124.2775025906949</v>
      </c>
      <c r="K14" s="5">
        <f t="shared" si="6"/>
        <v>438.27119089170009</v>
      </c>
      <c r="L14" s="5">
        <f t="shared" si="9"/>
        <v>26120.182100776517</v>
      </c>
      <c r="M14" s="5">
        <f t="shared" si="7"/>
        <v>202828.91174933745</v>
      </c>
      <c r="O14" s="143">
        <f t="shared" si="1"/>
        <v>-26120.182100776517</v>
      </c>
      <c r="P14" s="43">
        <f t="shared" si="3"/>
        <v>-21510.219701621565</v>
      </c>
      <c r="S14" s="91">
        <f>'Yield Curve'!L128/100</f>
        <v>3.9599999999999996E-2</v>
      </c>
      <c r="T14" s="101">
        <f t="shared" si="8"/>
        <v>21510.219701621565</v>
      </c>
      <c r="V14" s="133" t="s">
        <v>91</v>
      </c>
      <c r="Z14" s="43">
        <f t="shared" si="4"/>
        <v>-25769.786309668834</v>
      </c>
      <c r="AB14" s="173">
        <f>'Opciones de Inversion'!H9</f>
        <v>7.5999999999999998E-2</v>
      </c>
      <c r="AD14" s="159"/>
    </row>
    <row r="15" spans="2:31" x14ac:dyDescent="0.35">
      <c r="B15" s="16">
        <v>6</v>
      </c>
      <c r="C15" s="16">
        <f t="shared" si="2"/>
        <v>2031</v>
      </c>
      <c r="E15" s="87">
        <f>Plusvalia!D17</f>
        <v>326697.84566712781</v>
      </c>
      <c r="F15" s="87">
        <f>VLOOKUP((B15*12)+11,'Flujos Mensuales'!$B$13:$F$374,5,FALSE)</f>
        <v>208263.82822313032</v>
      </c>
      <c r="G15" s="87">
        <f t="shared" si="0"/>
        <v>118434.01744399749</v>
      </c>
      <c r="I15" s="87">
        <f>VLOOKUP(B15,'Flujos Mensuales'!$M$13:$N$374,2,FALSE)</f>
        <v>22587.456622862028</v>
      </c>
      <c r="J15" s="87">
        <f t="shared" si="5"/>
        <v>3266.9784566712783</v>
      </c>
      <c r="K15" s="5">
        <f t="shared" si="6"/>
        <v>442.65390280061712</v>
      </c>
      <c r="L15" s="5">
        <f t="shared" si="9"/>
        <v>26297.08898233392</v>
      </c>
      <c r="M15" s="5">
        <f t="shared" si="7"/>
        <v>229126.00073167137</v>
      </c>
      <c r="O15" s="143">
        <f t="shared" si="1"/>
        <v>-26297.08898233392</v>
      </c>
      <c r="P15" s="43">
        <f t="shared" si="3"/>
        <v>-20592.157370606848</v>
      </c>
      <c r="S15" s="91">
        <f>'Yield Curve'!M128/100</f>
        <v>4.1599999999999998E-2</v>
      </c>
      <c r="T15" s="101">
        <f t="shared" si="8"/>
        <v>20592.157370606848</v>
      </c>
      <c r="Y15" s="174" t="s">
        <v>237</v>
      </c>
      <c r="Z15" s="43">
        <f t="shared" si="4"/>
        <v>-25874.336159269966</v>
      </c>
      <c r="AB15" s="183" t="s">
        <v>232</v>
      </c>
    </row>
    <row r="16" spans="2:31" x14ac:dyDescent="0.35">
      <c r="B16" s="16">
        <v>7</v>
      </c>
      <c r="C16" s="16">
        <f t="shared" si="2"/>
        <v>2032</v>
      </c>
      <c r="E16" s="87">
        <f>Plusvalia!D18</f>
        <v>341619.72576072125</v>
      </c>
      <c r="F16" s="87">
        <f>VLOOKUP((B16*12)+11,'Flujos Mensuales'!$B$13:$F$374,5,FALSE)</f>
        <v>204507.96783276423</v>
      </c>
      <c r="G16" s="87">
        <f t="shared" si="0"/>
        <v>137111.75792795702</v>
      </c>
      <c r="I16" s="87">
        <f>VLOOKUP(B16,'Flujos Mensuales'!$M$13:$N$374,2,FALSE)</f>
        <v>22617.484666936823</v>
      </c>
      <c r="J16" s="87">
        <f t="shared" si="5"/>
        <v>3416.1972576072126</v>
      </c>
      <c r="K16" s="5">
        <f t="shared" si="6"/>
        <v>447.08044182862329</v>
      </c>
      <c r="L16" s="5">
        <f t="shared" si="9"/>
        <v>26480.762366372659</v>
      </c>
      <c r="M16" s="5">
        <f t="shared" si="7"/>
        <v>255606.76309804403</v>
      </c>
      <c r="O16" s="143">
        <f t="shared" si="1"/>
        <v>-26480.762366372659</v>
      </c>
      <c r="P16" s="43">
        <f t="shared" si="3"/>
        <v>-19907.819089335899</v>
      </c>
      <c r="S16" s="91">
        <f>'Yield Curve'!M128/100</f>
        <v>4.1599999999999998E-2</v>
      </c>
      <c r="T16" s="101">
        <f t="shared" si="8"/>
        <v>19907.819089335899</v>
      </c>
      <c r="Y16" s="161">
        <f>Principal!D13</f>
        <v>7.0000000000000007E-2</v>
      </c>
      <c r="Z16" s="43">
        <f t="shared" si="4"/>
        <v>-25984.7742259519</v>
      </c>
      <c r="AB16" s="172">
        <f>Principal!D13</f>
        <v>7.0000000000000007E-2</v>
      </c>
    </row>
    <row r="17" spans="2:28" x14ac:dyDescent="0.35">
      <c r="B17" s="16">
        <v>8</v>
      </c>
      <c r="C17" s="16">
        <f t="shared" si="2"/>
        <v>2033</v>
      </c>
      <c r="E17" s="87">
        <f>Plusvalia!D19</f>
        <v>357223.16071756434</v>
      </c>
      <c r="F17" s="87">
        <f>VLOOKUP((B17*12)+11,'Flujos Mensuales'!$B$13:$F$374,5,FALSE)</f>
        <v>200480.5959910939</v>
      </c>
      <c r="G17" s="87">
        <f t="shared" si="0"/>
        <v>156742.56472647045</v>
      </c>
      <c r="I17" s="87">
        <f>VLOOKUP(B17,'Flujos Mensuales'!$M$13:$N$374,2,FALSE)</f>
        <v>22647.718946298919</v>
      </c>
      <c r="J17" s="87">
        <f t="shared" si="5"/>
        <v>3572.2316071756436</v>
      </c>
      <c r="K17" s="5">
        <f t="shared" si="6"/>
        <v>451.55124624690956</v>
      </c>
      <c r="L17" s="5">
        <f t="shared" si="9"/>
        <v>26671.501799721471</v>
      </c>
      <c r="M17" s="5">
        <f t="shared" si="7"/>
        <v>282278.26489776548</v>
      </c>
      <c r="O17" s="143">
        <f t="shared" si="1"/>
        <v>-26671.501799721471</v>
      </c>
      <c r="P17" s="43">
        <f t="shared" si="3"/>
        <v>-18899.202612782639</v>
      </c>
      <c r="S17" s="91">
        <f>'Yield Curve'!N128/100</f>
        <v>4.4000000000000004E-2</v>
      </c>
      <c r="T17" s="101">
        <f t="shared" si="8"/>
        <v>18899.202612782639</v>
      </c>
      <c r="Y17" s="133" t="s">
        <v>221</v>
      </c>
      <c r="Z17" s="43">
        <f t="shared" si="4"/>
        <v>-26101.343215337583</v>
      </c>
      <c r="AB17" s="183" t="s">
        <v>233</v>
      </c>
    </row>
    <row r="18" spans="2:28" x14ac:dyDescent="0.35">
      <c r="B18" s="16">
        <v>9</v>
      </c>
      <c r="C18" s="16">
        <f t="shared" si="2"/>
        <v>2034</v>
      </c>
      <c r="E18" s="87">
        <f>Plusvalia!D20</f>
        <v>373539.28046422818</v>
      </c>
      <c r="F18" s="87">
        <f>VLOOKUP((B18*12)+11,'Flujos Mensuales'!$B$13:$F$374,5,FALSE)</f>
        <v>196162.08511335106</v>
      </c>
      <c r="G18" s="87">
        <f t="shared" si="0"/>
        <v>177377.19535087713</v>
      </c>
      <c r="I18" s="87">
        <f>VLOOKUP(B18,'Flujos Mensuales'!$M$13:$N$374,2,FALSE)</f>
        <v>22678.16087739071</v>
      </c>
      <c r="J18" s="87">
        <f t="shared" si="5"/>
        <v>3735.392804642282</v>
      </c>
      <c r="K18" s="5">
        <f t="shared" si="6"/>
        <v>456.06675870937863</v>
      </c>
      <c r="L18" s="5">
        <f t="shared" si="9"/>
        <v>26869.620440742368</v>
      </c>
      <c r="M18" s="5">
        <f t="shared" si="7"/>
        <v>309147.88533850783</v>
      </c>
      <c r="O18" s="143">
        <f t="shared" si="1"/>
        <v>-26869.620440742368</v>
      </c>
      <c r="P18" s="43">
        <f t="shared" si="3"/>
        <v>-18237.153085407041</v>
      </c>
      <c r="S18" s="91">
        <f>'Yield Curve'!N128/100</f>
        <v>4.4000000000000004E-2</v>
      </c>
      <c r="T18" s="101">
        <f t="shared" si="8"/>
        <v>18237.153085407041</v>
      </c>
      <c r="Y18" s="133" t="s">
        <v>219</v>
      </c>
      <c r="Z18" s="43">
        <f t="shared" si="4"/>
        <v>-26224.296232278397</v>
      </c>
      <c r="AB18" s="156">
        <v>0.28000000000000003</v>
      </c>
    </row>
    <row r="19" spans="2:28" x14ac:dyDescent="0.35">
      <c r="B19" s="16">
        <v>10</v>
      </c>
      <c r="C19" s="16">
        <f t="shared" si="2"/>
        <v>2035</v>
      </c>
      <c r="E19" s="87">
        <f>Plusvalia!D21</f>
        <v>390600.63678248704</v>
      </c>
      <c r="F19" s="87">
        <f>VLOOKUP((B19*12)+11,'Flujos Mensuales'!$B$13:$F$374,5,FALSE)</f>
        <v>191531.38873507769</v>
      </c>
      <c r="G19" s="87">
        <f t="shared" si="0"/>
        <v>199069.24804740935</v>
      </c>
      <c r="I19" s="87">
        <f>VLOOKUP(B19,'Flujos Mensuales'!$M$13:$N$374,2,FALSE)</f>
        <v>22708.811886382813</v>
      </c>
      <c r="J19" s="87">
        <f t="shared" si="5"/>
        <v>3906.0063678248703</v>
      </c>
      <c r="K19" s="5">
        <f t="shared" si="6"/>
        <v>460.62742629647244</v>
      </c>
      <c r="L19" s="5">
        <f t="shared" si="9"/>
        <v>27075.445680504155</v>
      </c>
      <c r="M19" s="5">
        <f t="shared" si="7"/>
        <v>336223.33101901197</v>
      </c>
      <c r="O19" s="143">
        <f t="shared" si="1"/>
        <v>-27075.445680504155</v>
      </c>
      <c r="P19" s="43">
        <f t="shared" si="3"/>
        <v>-17602.349001058574</v>
      </c>
      <c r="S19" s="91">
        <f>'Yield Curve'!N128/100</f>
        <v>4.4000000000000004E-2</v>
      </c>
      <c r="T19" s="101">
        <f t="shared" si="8"/>
        <v>17602.349001058574</v>
      </c>
      <c r="Y19" s="133" t="s">
        <v>220</v>
      </c>
      <c r="Z19" s="43">
        <f t="shared" si="4"/>
        <v>-26353.897226368877</v>
      </c>
    </row>
    <row r="20" spans="2:28" x14ac:dyDescent="0.35">
      <c r="B20" s="16">
        <v>11</v>
      </c>
      <c r="C20" s="16">
        <f t="shared" si="2"/>
        <v>2036</v>
      </c>
      <c r="E20" s="87">
        <f>Plusvalia!D22</f>
        <v>408441.26825236261</v>
      </c>
      <c r="F20" s="87">
        <f>VLOOKUP((B20*12)+11,'Flujos Mensuales'!$B$13:$F$374,5,FALSE)</f>
        <v>186565.9389411982</v>
      </c>
      <c r="G20" s="87">
        <f t="shared" si="0"/>
        <v>221875.32931116442</v>
      </c>
      <c r="I20" s="87">
        <f>VLOOKUP(B20,'Flujos Mensuales'!$M$13:$N$374,2,FALSE)</f>
        <v>22739.673409240902</v>
      </c>
      <c r="J20" s="87">
        <f t="shared" si="5"/>
        <v>4084.4126825236262</v>
      </c>
      <c r="K20" s="5">
        <f t="shared" si="6"/>
        <v>465.23370055943718</v>
      </c>
      <c r="L20" s="5">
        <f t="shared" si="9"/>
        <v>27289.319792323968</v>
      </c>
      <c r="M20" s="5">
        <f t="shared" si="7"/>
        <v>363512.65081133595</v>
      </c>
      <c r="O20" s="143">
        <f t="shared" si="1"/>
        <v>-27289.319792323968</v>
      </c>
      <c r="P20" s="43">
        <f t="shared" si="3"/>
        <v>-16072.976479776064</v>
      </c>
      <c r="S20" s="91">
        <f>'Yield Curve'!O128/100</f>
        <v>4.9299999999999997E-2</v>
      </c>
      <c r="T20" s="101">
        <f t="shared" si="8"/>
        <v>16072.976479776064</v>
      </c>
      <c r="Z20" s="43">
        <f t="shared" si="4"/>
        <v>-26490.421456553326</v>
      </c>
      <c r="AB20" s="181" t="s">
        <v>240</v>
      </c>
    </row>
    <row r="21" spans="2:28" x14ac:dyDescent="0.35">
      <c r="B21" s="16">
        <v>12</v>
      </c>
      <c r="C21" s="16">
        <f t="shared" si="2"/>
        <v>2037</v>
      </c>
      <c r="E21" s="87">
        <f>Plusvalia!D23</f>
        <v>427096.76816143439</v>
      </c>
      <c r="F21" s="87">
        <f>VLOOKUP((B21*12)+11,'Flujos Mensuales'!$B$13:$F$374,5,FALSE)</f>
        <v>181241.53638023167</v>
      </c>
      <c r="G21" s="87">
        <f t="shared" si="0"/>
        <v>245855.23178120272</v>
      </c>
      <c r="I21" s="87">
        <f>VLOOKUP(B21,'Flujos Mensuales'!$M$13:$N$374,2,FALSE)</f>
        <v>22770.746891792995</v>
      </c>
      <c r="J21" s="87">
        <f t="shared" si="5"/>
        <v>4270.9676816143437</v>
      </c>
      <c r="K21" s="5">
        <f t="shared" si="6"/>
        <v>469.88603756503159</v>
      </c>
      <c r="L21" s="5">
        <f t="shared" si="9"/>
        <v>27511.600610972371</v>
      </c>
      <c r="M21" s="5">
        <f t="shared" si="7"/>
        <v>391024.25142230833</v>
      </c>
      <c r="O21" s="143">
        <f t="shared" si="1"/>
        <v>-27511.600610972371</v>
      </c>
      <c r="P21" s="43">
        <f t="shared" si="3"/>
        <v>-15442.577295360521</v>
      </c>
      <c r="S21" s="91">
        <f>'Yield Curve'!O128/100</f>
        <v>4.9299999999999997E-2</v>
      </c>
      <c r="T21" s="101">
        <f t="shared" si="8"/>
        <v>15442.577295360521</v>
      </c>
      <c r="Z21" s="43">
        <f t="shared" si="4"/>
        <v>-26634.155975642392</v>
      </c>
      <c r="AB21" s="181" t="s">
        <v>242</v>
      </c>
    </row>
    <row r="22" spans="2:28" x14ac:dyDescent="0.35">
      <c r="B22" s="16">
        <v>13</v>
      </c>
      <c r="C22" s="16">
        <f t="shared" si="2"/>
        <v>2038</v>
      </c>
      <c r="E22" s="87">
        <f>Plusvalia!D24</f>
        <v>446604.35551589687</v>
      </c>
      <c r="F22" s="87">
        <f>VLOOKUP((B22*12)+11,'Flujos Mensuales'!$B$13:$F$374,5,FALSE)</f>
        <v>175532.23232762166</v>
      </c>
      <c r="G22" s="87">
        <f t="shared" si="0"/>
        <v>271072.1231882752</v>
      </c>
      <c r="I22" s="87">
        <f>VLOOKUP(B22,'Flujos Mensuales'!$M$13:$N$374,2,FALSE)</f>
        <v>22802.03378979722</v>
      </c>
      <c r="J22" s="87">
        <f t="shared" si="5"/>
        <v>4466.043555158969</v>
      </c>
      <c r="K22" s="5">
        <f t="shared" si="6"/>
        <v>474.58489794068191</v>
      </c>
      <c r="L22" s="5">
        <f t="shared" si="9"/>
        <v>27742.662242896869</v>
      </c>
      <c r="M22" s="5">
        <f t="shared" si="7"/>
        <v>418766.91366520518</v>
      </c>
      <c r="O22" s="143">
        <f t="shared" si="1"/>
        <v>-27742.662242896869</v>
      </c>
      <c r="P22" s="43">
        <f t="shared" si="3"/>
        <v>-14840.631699491945</v>
      </c>
      <c r="S22" s="91">
        <f>'Yield Curve'!O128/100</f>
        <v>4.9299999999999997E-2</v>
      </c>
      <c r="T22" s="101">
        <f t="shared" si="8"/>
        <v>14840.631699491945</v>
      </c>
      <c r="Y22" s="176" t="s">
        <v>236</v>
      </c>
      <c r="Z22" s="43">
        <f t="shared" si="4"/>
        <v>-26785.400135592794</v>
      </c>
      <c r="AB22" s="181" t="s">
        <v>241</v>
      </c>
    </row>
    <row r="23" spans="2:28" x14ac:dyDescent="0.35">
      <c r="B23" s="16">
        <v>14</v>
      </c>
      <c r="C23" s="16">
        <f t="shared" si="2"/>
        <v>2039</v>
      </c>
      <c r="E23" s="87">
        <f>Plusvalia!D25</f>
        <v>467002.9492950397</v>
      </c>
      <c r="F23" s="87">
        <f>VLOOKUP((B23*12)+11,'Flujos Mensuales'!$B$13:$F$374,5,FALSE)</f>
        <v>169410.20222341563</v>
      </c>
      <c r="G23" s="87">
        <f t="shared" si="0"/>
        <v>297592.74707162404</v>
      </c>
      <c r="I23" s="87">
        <f>VLOOKUP(B23,'Flujos Mensuales'!$M$13:$N$374,2,FALSE)</f>
        <v>22833.535569009935</v>
      </c>
      <c r="J23" s="87">
        <f t="shared" si="5"/>
        <v>4670.0294929503971</v>
      </c>
      <c r="K23" s="5">
        <f t="shared" si="6"/>
        <v>479.33074692008876</v>
      </c>
      <c r="L23" s="5">
        <f t="shared" si="9"/>
        <v>27982.895808880421</v>
      </c>
      <c r="M23" s="5">
        <f t="shared" si="7"/>
        <v>446749.80947408557</v>
      </c>
      <c r="O23" s="143">
        <f t="shared" si="1"/>
        <v>-27982.895808880421</v>
      </c>
      <c r="P23" s="43">
        <f t="shared" si="3"/>
        <v>-14265.836272243023</v>
      </c>
      <c r="S23" s="91">
        <f>'Yield Curve'!O128/100</f>
        <v>4.9299999999999997E-2</v>
      </c>
      <c r="T23" s="101">
        <f t="shared" si="8"/>
        <v>14265.836272243023</v>
      </c>
      <c r="Y23" s="177" t="s">
        <v>261</v>
      </c>
      <c r="Z23" s="43">
        <f t="shared" si="4"/>
        <v>-26944.466114439922</v>
      </c>
      <c r="AB23" s="181" t="s">
        <v>246</v>
      </c>
    </row>
    <row r="24" spans="2:28" x14ac:dyDescent="0.35">
      <c r="B24" s="16">
        <v>15</v>
      </c>
      <c r="C24" s="16">
        <f t="shared" si="2"/>
        <v>2040</v>
      </c>
      <c r="E24" s="87">
        <f>Plusvalia!D26</f>
        <v>488333.24609728839</v>
      </c>
      <c r="F24" s="87">
        <f>VLOOKUP((B24*12)+11,'Flujos Mensuales'!$B$13:$F$374,5,FALSE)</f>
        <v>162845.61006797221</v>
      </c>
      <c r="G24" s="87">
        <f t="shared" si="0"/>
        <v>325487.63602931617</v>
      </c>
      <c r="I24" s="87">
        <f>VLOOKUP(B24,'Flujos Mensuales'!$M$13:$N$374,2,FALSE)</f>
        <v>22865.253705254439</v>
      </c>
      <c r="J24" s="87">
        <f t="shared" si="5"/>
        <v>4883.3324609728843</v>
      </c>
      <c r="K24" s="5">
        <f t="shared" si="6"/>
        <v>484.12405438928965</v>
      </c>
      <c r="L24" s="5">
        <f t="shared" si="9"/>
        <v>28232.710220616613</v>
      </c>
      <c r="M24" s="5">
        <f t="shared" si="7"/>
        <v>474982.51969470218</v>
      </c>
      <c r="O24" s="143">
        <f t="shared" si="1"/>
        <v>-28232.710220616613</v>
      </c>
      <c r="P24" s="43">
        <f t="shared" si="3"/>
        <v>-13716.947538283343</v>
      </c>
      <c r="S24" s="91">
        <f>'Yield Curve'!O128/100</f>
        <v>4.9299999999999997E-2</v>
      </c>
      <c r="T24" s="101">
        <f t="shared" si="8"/>
        <v>13716.947538283343</v>
      </c>
      <c r="Y24" s="177" t="s">
        <v>262</v>
      </c>
      <c r="Z24" s="43">
        <f t="shared" si="4"/>
        <v>-27111.679465811347</v>
      </c>
      <c r="AB24" s="181" t="s">
        <v>247</v>
      </c>
    </row>
    <row r="25" spans="2:28" x14ac:dyDescent="0.35">
      <c r="B25" s="16">
        <v>16</v>
      </c>
      <c r="C25" s="16">
        <f t="shared" si="2"/>
        <v>2041</v>
      </c>
      <c r="E25" s="87">
        <f>Plusvalia!D27</f>
        <v>510637.80133272021</v>
      </c>
      <c r="F25" s="87">
        <f>VLOOKUP((B25*12)+11,'Flujos Mensuales'!$B$13:$F$374,5,FALSE)</f>
        <v>155806.46301482365</v>
      </c>
      <c r="G25" s="87">
        <f t="shared" si="0"/>
        <v>354831.33831789659</v>
      </c>
      <c r="I25" s="87">
        <f>VLOOKUP(B25,'Flujos Mensuales'!$M$13:$N$374,2,FALSE)</f>
        <v>22897.189684490189</v>
      </c>
      <c r="J25" s="87">
        <f t="shared" si="5"/>
        <v>5106.3780133272021</v>
      </c>
      <c r="K25" s="5">
        <f t="shared" si="6"/>
        <v>488.96529493318258</v>
      </c>
      <c r="L25" s="5">
        <f t="shared" si="9"/>
        <v>28492.532992750574</v>
      </c>
      <c r="M25" s="5">
        <f t="shared" si="7"/>
        <v>503475.05268745276</v>
      </c>
      <c r="O25" s="143">
        <f t="shared" si="1"/>
        <v>-28492.532992750574</v>
      </c>
      <c r="P25" s="43">
        <f t="shared" si="3"/>
        <v>-13192.779202254564</v>
      </c>
      <c r="S25" s="91">
        <f>'Yield Curve'!O128/100</f>
        <v>4.9299999999999997E-2</v>
      </c>
      <c r="T25" s="101">
        <f t="shared" si="8"/>
        <v>13192.779202254564</v>
      </c>
      <c r="Y25" s="177" t="s">
        <v>265</v>
      </c>
      <c r="Z25" s="43">
        <f t="shared" si="4"/>
        <v>-27287.37969198899</v>
      </c>
      <c r="AB25" s="181" t="s">
        <v>248</v>
      </c>
    </row>
    <row r="26" spans="2:28" x14ac:dyDescent="0.35">
      <c r="B26" s="16">
        <v>17</v>
      </c>
      <c r="C26" s="16">
        <f t="shared" si="2"/>
        <v>2042</v>
      </c>
      <c r="E26" s="87">
        <f>Plusvalia!D28</f>
        <v>533961.11412403488</v>
      </c>
      <c r="F26" s="87">
        <f>VLOOKUP((B26*12)+11,'Flujos Mensuales'!$B$13:$F$374,5,FALSE)</f>
        <v>148258.45545204397</v>
      </c>
      <c r="G26" s="87">
        <f t="shared" si="0"/>
        <v>385702.65867199091</v>
      </c>
      <c r="I26" s="87">
        <f>VLOOKUP(B26,'Flujos Mensuales'!$M$13:$N$374,2,FALSE)</f>
        <v>22929.345002882259</v>
      </c>
      <c r="J26" s="87">
        <f t="shared" si="5"/>
        <v>5339.6111412403488</v>
      </c>
      <c r="K26" s="5">
        <f t="shared" si="6"/>
        <v>493.85494788251441</v>
      </c>
      <c r="L26" s="5">
        <f t="shared" si="9"/>
        <v>28762.811092005122</v>
      </c>
      <c r="M26" s="5">
        <f t="shared" si="7"/>
        <v>532237.86377945787</v>
      </c>
      <c r="O26" s="143">
        <f t="shared" si="1"/>
        <v>-28762.811092005122</v>
      </c>
      <c r="P26" s="43">
        <f t="shared" si="3"/>
        <v>-12692.199511959197</v>
      </c>
      <c r="S26" s="91">
        <f>'Yield Curve'!O128/100</f>
        <v>4.9299999999999997E-2</v>
      </c>
      <c r="T26" s="101">
        <f t="shared" si="8"/>
        <v>12692.199511959197</v>
      </c>
      <c r="Y26" s="177" t="s">
        <v>263</v>
      </c>
      <c r="Z26" s="43">
        <f t="shared" si="4"/>
        <v>-27471.92084152867</v>
      </c>
      <c r="AB26" s="181" t="s">
        <v>244</v>
      </c>
    </row>
    <row r="27" spans="2:28" x14ac:dyDescent="0.35">
      <c r="B27" s="16">
        <v>18</v>
      </c>
      <c r="C27" s="16">
        <f t="shared" si="2"/>
        <v>2043</v>
      </c>
      <c r="E27" s="87">
        <f>Plusvalia!D29</f>
        <v>558349.71608536749</v>
      </c>
      <c r="F27" s="87">
        <f>VLOOKUP((B27*12)+11,'Flujos Mensuales'!$B$13:$F$374,5,FALSE)</f>
        <v>140164.80181224752</v>
      </c>
      <c r="G27" s="87">
        <f t="shared" si="0"/>
        <v>418184.91427312</v>
      </c>
      <c r="I27" s="87">
        <f>VLOOKUP(B27,'Flujos Mensuales'!$M$13:$N$374,2,FALSE)</f>
        <v>22961.721166871575</v>
      </c>
      <c r="J27" s="87">
        <f t="shared" si="5"/>
        <v>5583.4971608536753</v>
      </c>
      <c r="K27" s="5">
        <f t="shared" si="6"/>
        <v>498.79349736133958</v>
      </c>
      <c r="L27" s="5">
        <f t="shared" si="9"/>
        <v>29044.011825086593</v>
      </c>
      <c r="M27" s="5">
        <f t="shared" si="7"/>
        <v>561281.87560454442</v>
      </c>
      <c r="O27" s="143">
        <f t="shared" si="1"/>
        <v>-29044.011825086593</v>
      </c>
      <c r="P27" s="43">
        <f t="shared" si="3"/>
        <v>-12214.128743441574</v>
      </c>
      <c r="S27" s="91">
        <f>'Yield Curve'!O128/100</f>
        <v>4.9299999999999997E-2</v>
      </c>
      <c r="T27" s="101">
        <f t="shared" si="8"/>
        <v>12214.128743441574</v>
      </c>
      <c r="Y27" s="178" t="s">
        <v>264</v>
      </c>
      <c r="Z27" s="43">
        <f t="shared" si="4"/>
        <v>-27665.672132490105</v>
      </c>
      <c r="AB27" s="181" t="s">
        <v>245</v>
      </c>
    </row>
    <row r="28" spans="2:28" x14ac:dyDescent="0.35">
      <c r="B28" s="16">
        <v>19</v>
      </c>
      <c r="C28" s="16">
        <f t="shared" si="2"/>
        <v>2044</v>
      </c>
      <c r="E28" s="87">
        <f>Plusvalia!D30</f>
        <v>583852.26415606064</v>
      </c>
      <c r="F28" s="87">
        <f>VLOOKUP((B28*12)+11,'Flujos Mensuales'!$B$13:$F$374,5,FALSE)</f>
        <v>131486.05729640779</v>
      </c>
      <c r="G28" s="87">
        <f t="shared" si="0"/>
        <v>452366.20685965288</v>
      </c>
      <c r="I28" s="87">
        <f>VLOOKUP(B28,'Flujos Mensuales'!$M$13:$N$374,2,FALSE)</f>
        <v>22994.319693245416</v>
      </c>
      <c r="J28" s="87">
        <f t="shared" si="5"/>
        <v>5838.5226415606066</v>
      </c>
      <c r="K28" s="5">
        <f t="shared" si="6"/>
        <v>503.78143233495297</v>
      </c>
      <c r="L28" s="5">
        <f t="shared" si="9"/>
        <v>29336.623767140976</v>
      </c>
      <c r="M28" s="5">
        <f t="shared" si="7"/>
        <v>590618.49937168544</v>
      </c>
      <c r="O28" s="143">
        <f t="shared" si="1"/>
        <v>-29336.623767140976</v>
      </c>
      <c r="P28" s="43">
        <f t="shared" si="3"/>
        <v>-11757.536802313951</v>
      </c>
      <c r="S28" s="91">
        <f>'Yield Curve'!O128/100</f>
        <v>4.9299999999999997E-2</v>
      </c>
      <c r="T28" s="101">
        <f t="shared" si="8"/>
        <v>11757.536802313951</v>
      </c>
      <c r="Z28" s="43">
        <f t="shared" si="4"/>
        <v>-27869.018602374228</v>
      </c>
    </row>
    <row r="29" spans="2:28" x14ac:dyDescent="0.35">
      <c r="B29" s="16">
        <v>20</v>
      </c>
      <c r="C29" s="16">
        <f t="shared" si="2"/>
        <v>2045</v>
      </c>
      <c r="E29" s="87">
        <f>Plusvalia!D31</f>
        <v>610519.63767460722</v>
      </c>
      <c r="F29" s="87">
        <f>VLOOKUP((B29*12)+11,'Flujos Mensuales'!$B$13:$F$374,5,FALSE)</f>
        <v>122179.92563778744</v>
      </c>
      <c r="G29" s="87">
        <f t="shared" si="0"/>
        <v>488339.71203681978</v>
      </c>
      <c r="I29" s="87">
        <f>VLOOKUP(B29,'Flujos Mensuales'!$M$13:$N$374,2,FALSE)</f>
        <v>23027.142109208453</v>
      </c>
      <c r="J29" s="87">
        <f t="shared" si="5"/>
        <v>6105.196376746072</v>
      </c>
      <c r="K29" s="5">
        <f t="shared" si="6"/>
        <v>508.81924665830252</v>
      </c>
      <c r="L29" s="5">
        <f t="shared" si="9"/>
        <v>29641.157732612828</v>
      </c>
      <c r="M29" s="5">
        <f t="shared" si="7"/>
        <v>620259.65710429824</v>
      </c>
      <c r="O29" s="143">
        <f t="shared" si="1"/>
        <v>-29641.157732612828</v>
      </c>
      <c r="P29" s="43">
        <f t="shared" si="3"/>
        <v>-11321.440935943139</v>
      </c>
      <c r="S29" s="91">
        <f>'Yield Curve'!O128/100</f>
        <v>4.9299999999999997E-2</v>
      </c>
      <c r="T29" s="101">
        <f t="shared" si="8"/>
        <v>11321.440935943139</v>
      </c>
      <c r="Z29" s="43">
        <f t="shared" si="4"/>
        <v>-28082.361785912708</v>
      </c>
      <c r="AB29" s="181" t="s">
        <v>249</v>
      </c>
    </row>
    <row r="30" spans="2:28" x14ac:dyDescent="0.35">
      <c r="B30" s="16">
        <v>21</v>
      </c>
      <c r="C30" s="16">
        <f t="shared" si="2"/>
        <v>2046</v>
      </c>
      <c r="E30" s="87">
        <f>Plusvalia!D32</f>
        <v>638405.03988643235</v>
      </c>
      <c r="F30" s="87">
        <f>VLOOKUP((B30*12)+11,'Flujos Mensuales'!$B$13:$F$374,5,FALSE)</f>
        <v>112201.05296910665</v>
      </c>
      <c r="G30" s="87">
        <f t="shared" si="0"/>
        <v>526203.98691732576</v>
      </c>
      <c r="I30" s="87">
        <f>VLOOKUP(B30,'Flujos Mensuales'!$M$13:$N$374,2,FALSE)</f>
        <v>23060.189952454424</v>
      </c>
      <c r="J30" s="87">
        <f t="shared" si="5"/>
        <v>6384.0503988643241</v>
      </c>
      <c r="K30" s="5">
        <f t="shared" si="6"/>
        <v>513.90743912488551</v>
      </c>
      <c r="L30" s="5">
        <f t="shared" si="9"/>
        <v>29958.147790443636</v>
      </c>
      <c r="M30" s="5">
        <f t="shared" si="7"/>
        <v>650217.80489474186</v>
      </c>
      <c r="O30" s="143">
        <f t="shared" si="1"/>
        <v>-29958.147790443636</v>
      </c>
      <c r="P30" s="43">
        <f t="shared" si="3"/>
        <v>-10926.750803626961</v>
      </c>
      <c r="S30" s="91">
        <f>'Yield Curve'!P128/100</f>
        <v>4.9200000000000001E-2</v>
      </c>
      <c r="T30" s="101">
        <f t="shared" si="8"/>
        <v>10926.750803626961</v>
      </c>
      <c r="Z30" s="43">
        <f t="shared" si="4"/>
        <v>-28306.120421903277</v>
      </c>
      <c r="AB30" s="181" t="s">
        <v>250</v>
      </c>
    </row>
    <row r="31" spans="2:28" x14ac:dyDescent="0.35">
      <c r="B31" s="16">
        <v>22</v>
      </c>
      <c r="C31" s="16">
        <f t="shared" si="2"/>
        <v>2047</v>
      </c>
      <c r="E31" s="87">
        <f>Plusvalia!D33</f>
        <v>667564.10408802913</v>
      </c>
      <c r="F31" s="87">
        <f>VLOOKUP((B31*12)+11,'Flujos Mensuales'!$B$13:$F$374,5,FALSE)</f>
        <v>101500.8067883528</v>
      </c>
      <c r="G31" s="87">
        <f t="shared" si="0"/>
        <v>566063.29729967634</v>
      </c>
      <c r="I31" s="87">
        <f>VLOOKUP(B31,'Flujos Mensuales'!$M$13:$N$374,2,FALSE)</f>
        <v>23093.464771237996</v>
      </c>
      <c r="J31" s="87">
        <f t="shared" si="5"/>
        <v>6675.6410408802913</v>
      </c>
      <c r="K31" s="5">
        <f t="shared" si="6"/>
        <v>519.04651351613438</v>
      </c>
      <c r="L31" s="5">
        <f t="shared" si="9"/>
        <v>30288.152325634423</v>
      </c>
      <c r="M31" s="5">
        <f t="shared" si="7"/>
        <v>680505.95722037624</v>
      </c>
      <c r="O31" s="143">
        <f t="shared" si="1"/>
        <v>-30288.152325634423</v>
      </c>
      <c r="P31" s="43">
        <f t="shared" si="3"/>
        <v>-10529.083712066942</v>
      </c>
      <c r="S31" s="91">
        <f>'Yield Curve'!P128/100</f>
        <v>4.9200000000000001E-2</v>
      </c>
      <c r="T31" s="101">
        <f t="shared" si="8"/>
        <v>10529.083712066942</v>
      </c>
      <c r="Z31" s="43">
        <f t="shared" si="4"/>
        <v>-28540.731190335173</v>
      </c>
      <c r="AB31" s="181" t="s">
        <v>251</v>
      </c>
    </row>
    <row r="32" spans="2:28" x14ac:dyDescent="0.35">
      <c r="B32" s="16">
        <v>23</v>
      </c>
      <c r="C32" s="16">
        <f t="shared" si="2"/>
        <v>2048</v>
      </c>
      <c r="E32" s="87">
        <f>Plusvalia!D34</f>
        <v>698055.00461921375</v>
      </c>
      <c r="F32" s="87">
        <f>VLOOKUP((B32*12)+11,'Flujos Mensuales'!$B$13:$F$374,5,FALSE)</f>
        <v>90027.038946010653</v>
      </c>
      <c r="G32" s="87">
        <f t="shared" si="0"/>
        <v>608027.96567320311</v>
      </c>
      <c r="I32" s="87">
        <f>VLOOKUP(B32,'Flujos Mensuales'!$M$13:$N$374,2,FALSE)</f>
        <v>23126.968124447423</v>
      </c>
      <c r="J32" s="87">
        <f t="shared" si="5"/>
        <v>6980.5500461921374</v>
      </c>
      <c r="K32" s="5">
        <f t="shared" si="6"/>
        <v>524.23697865129577</v>
      </c>
      <c r="L32" s="5">
        <f t="shared" si="9"/>
        <v>30631.755149290857</v>
      </c>
      <c r="M32" s="5">
        <f t="shared" si="7"/>
        <v>711137.71236966713</v>
      </c>
      <c r="O32" s="143">
        <f t="shared" si="1"/>
        <v>-30631.755149290857</v>
      </c>
      <c r="P32" s="43">
        <f t="shared" si="3"/>
        <v>-10149.190347648439</v>
      </c>
      <c r="S32" s="91">
        <f>'Yield Curve'!P128/100</f>
        <v>4.9200000000000001E-2</v>
      </c>
      <c r="T32" s="101">
        <f t="shared" si="8"/>
        <v>10149.190347648439</v>
      </c>
      <c r="Z32" s="43">
        <f t="shared" si="4"/>
        <v>-28786.649481103377</v>
      </c>
      <c r="AB32" s="181" t="s">
        <v>252</v>
      </c>
    </row>
    <row r="33" spans="2:28" x14ac:dyDescent="0.35">
      <c r="B33" s="16">
        <v>24</v>
      </c>
      <c r="C33" s="16">
        <f t="shared" si="2"/>
        <v>2049</v>
      </c>
      <c r="E33" s="87">
        <f>Plusvalia!D35</f>
        <v>729938.57292493794</v>
      </c>
      <c r="F33" s="87">
        <f>VLOOKUP((B33*12)+11,'Flujos Mensuales'!$B$13:$F$374,5,FALSE)</f>
        <v>77723.831498619926</v>
      </c>
      <c r="G33" s="87">
        <f t="shared" si="0"/>
        <v>652214.74142631795</v>
      </c>
      <c r="I33" s="87">
        <f>VLOOKUP(B33,'Flujos Mensuales'!$M$13:$N$374,2,FALSE)</f>
        <v>23160.701581677578</v>
      </c>
      <c r="J33" s="87">
        <f t="shared" si="5"/>
        <v>7299.3857292493794</v>
      </c>
      <c r="K33" s="5">
        <f t="shared" si="6"/>
        <v>529.47934843780877</v>
      </c>
      <c r="L33" s="5">
        <f t="shared" si="9"/>
        <v>30989.566659364769</v>
      </c>
      <c r="M33" s="5">
        <f t="shared" si="7"/>
        <v>742127.27902903187</v>
      </c>
      <c r="O33" s="143">
        <f t="shared" si="1"/>
        <v>-30989.566659364769</v>
      </c>
      <c r="P33" s="43">
        <f t="shared" si="3"/>
        <v>-9786.2597174286893</v>
      </c>
      <c r="S33" s="91">
        <f>'Yield Curve'!P128/100</f>
        <v>4.9200000000000001E-2</v>
      </c>
      <c r="T33" s="101">
        <f t="shared" si="8"/>
        <v>9786.2597174286893</v>
      </c>
      <c r="Z33" s="43">
        <f t="shared" si="4"/>
        <v>-29044.35019566492</v>
      </c>
      <c r="AB33" s="181" t="s">
        <v>253</v>
      </c>
    </row>
    <row r="34" spans="2:28" x14ac:dyDescent="0.35">
      <c r="B34" s="16">
        <v>25</v>
      </c>
      <c r="C34" s="16">
        <f t="shared" si="2"/>
        <v>2050</v>
      </c>
      <c r="E34" s="87">
        <f>Plusvalia!D36</f>
        <v>763278.41891820647</v>
      </c>
      <c r="F34" s="87">
        <f>VLOOKUP((B34*12)+11,'Flujos Mensuales'!$B$13:$F$374,5,FALSE)</f>
        <v>64531.224190066219</v>
      </c>
      <c r="G34" s="87">
        <f t="shared" si="0"/>
        <v>698747.19472814025</v>
      </c>
      <c r="I34" s="87">
        <f>VLOOKUP(B34,'Flujos Mensuales'!$M$13:$N$374,2,FALSE)</f>
        <v>23194.666723303377</v>
      </c>
      <c r="J34" s="87">
        <f t="shared" si="5"/>
        <v>7632.7841891820644</v>
      </c>
      <c r="K34" s="5">
        <f t="shared" si="6"/>
        <v>534.77414192218691</v>
      </c>
      <c r="L34" s="5">
        <f t="shared" si="9"/>
        <v>31362.225054407627</v>
      </c>
      <c r="M34" s="5">
        <f t="shared" si="7"/>
        <v>773489.50408343947</v>
      </c>
      <c r="O34" s="143">
        <f t="shared" si="1"/>
        <v>-31362.225054407627</v>
      </c>
      <c r="P34" s="43">
        <f t="shared" si="3"/>
        <v>-9439.5180015002497</v>
      </c>
      <c r="S34" s="91">
        <f>'Yield Curve'!P128/100</f>
        <v>4.9200000000000001E-2</v>
      </c>
      <c r="T34" s="101">
        <f t="shared" si="8"/>
        <v>9439.5180015002497</v>
      </c>
      <c r="Z34" s="43">
        <f t="shared" si="4"/>
        <v>-29314.328583048868</v>
      </c>
      <c r="AB34" s="181" t="s">
        <v>254</v>
      </c>
    </row>
    <row r="35" spans="2:28" x14ac:dyDescent="0.35">
      <c r="B35" s="16">
        <v>26</v>
      </c>
      <c r="C35" s="16">
        <f t="shared" si="2"/>
        <v>2051</v>
      </c>
      <c r="E35" s="87">
        <f>Plusvalia!D37</f>
        <v>798141.05788623297</v>
      </c>
      <c r="F35" s="87">
        <f>VLOOKUP((B35*12)+11,'Flujos Mensuales'!$B$13:$F$374,5,FALSE)</f>
        <v>50384.922232472651</v>
      </c>
      <c r="G35" s="87">
        <f t="shared" si="0"/>
        <v>747756.13565376028</v>
      </c>
      <c r="I35" s="87">
        <f>VLOOKUP(B35,'Flujos Mensuales'!$M$13:$N$374,2,FALSE)</f>
        <v>23228.865140553953</v>
      </c>
      <c r="J35" s="87">
        <f t="shared" si="5"/>
        <v>7981.4105788623301</v>
      </c>
      <c r="K35" s="5">
        <f t="shared" si="6"/>
        <v>540.12188334140876</v>
      </c>
      <c r="L35" s="5">
        <f t="shared" si="9"/>
        <v>31750.397602757694</v>
      </c>
      <c r="M35" s="5">
        <f t="shared" si="7"/>
        <v>805239.90168619715</v>
      </c>
      <c r="O35" s="143">
        <f t="shared" si="1"/>
        <v>-31750.397602757694</v>
      </c>
      <c r="P35" s="43">
        <f t="shared" si="3"/>
        <v>-9108.2268439876316</v>
      </c>
      <c r="S35" s="91">
        <f>'Yield Curve'!P128/100</f>
        <v>4.9200000000000001E-2</v>
      </c>
      <c r="T35" s="101">
        <f t="shared" si="8"/>
        <v>9108.2268439876316</v>
      </c>
      <c r="Z35" s="43">
        <f t="shared" si="4"/>
        <v>-29597.101111692809</v>
      </c>
      <c r="AB35" s="181" t="s">
        <v>255</v>
      </c>
    </row>
    <row r="36" spans="2:28" x14ac:dyDescent="0.35">
      <c r="B36" s="16">
        <v>27</v>
      </c>
      <c r="C36" s="16">
        <f t="shared" si="2"/>
        <v>2052</v>
      </c>
      <c r="E36" s="87">
        <f>Plusvalia!D38</f>
        <v>834596.04319301411</v>
      </c>
      <c r="F36" s="87">
        <f>VLOOKUP((B36*12)+11,'Flujos Mensuales'!$B$13:$F$374,5,FALSE)</f>
        <v>35215.982962547896</v>
      </c>
      <c r="G36" s="87">
        <f t="shared" si="0"/>
        <v>799380.06023046619</v>
      </c>
      <c r="I36" s="87">
        <f>VLOOKUP(B36,'Flujos Mensuales'!$M$13:$N$374,2,FALSE)</f>
        <v>23263.298435587105</v>
      </c>
      <c r="J36" s="87">
        <f t="shared" si="5"/>
        <v>8345.9604319301416</v>
      </c>
      <c r="K36" s="5">
        <f t="shared" si="6"/>
        <v>545.52310217482284</v>
      </c>
      <c r="L36" s="5">
        <f t="shared" si="9"/>
        <v>32154.781969692067</v>
      </c>
      <c r="M36" s="5">
        <f t="shared" si="7"/>
        <v>837394.68365588924</v>
      </c>
      <c r="O36" s="143">
        <f t="shared" si="1"/>
        <v>-32154.781969692067</v>
      </c>
      <c r="P36" s="43">
        <f t="shared" si="3"/>
        <v>-8791.6817228170439</v>
      </c>
      <c r="S36" s="91">
        <f>'Yield Curve'!P128/100</f>
        <v>4.9200000000000001E-2</v>
      </c>
      <c r="T36" s="101">
        <f t="shared" si="8"/>
        <v>8791.6817228170439</v>
      </c>
      <c r="Z36" s="43">
        <f t="shared" si="4"/>
        <v>-29893.206378640309</v>
      </c>
      <c r="AB36" s="27"/>
    </row>
    <row r="37" spans="2:28" x14ac:dyDescent="0.35">
      <c r="B37" s="16">
        <v>28</v>
      </c>
      <c r="C37" s="16">
        <f t="shared" si="2"/>
        <v>2053</v>
      </c>
      <c r="E37" s="87">
        <f>Plusvalia!D39</f>
        <v>872716.10504307877</v>
      </c>
      <c r="F37" s="87">
        <f>VLOOKUP((B37*12)+11,'Flujos Mensuales'!$B$13:$F$374,5,FALSE)</f>
        <v>18950.479846296967</v>
      </c>
      <c r="G37" s="87">
        <f t="shared" si="0"/>
        <v>853765.62519678182</v>
      </c>
      <c r="I37" s="87">
        <f>VLOOKUP(B37,'Flujos Mensuales'!$M$13:$N$374,2,FALSE)</f>
        <v>23297.968221564443</v>
      </c>
      <c r="J37" s="87">
        <f t="shared" si="5"/>
        <v>8727.1610504307882</v>
      </c>
      <c r="K37" s="5">
        <f t="shared" si="6"/>
        <v>550.97833319657104</v>
      </c>
      <c r="L37" s="5">
        <f t="shared" si="9"/>
        <v>32576.107605191803</v>
      </c>
      <c r="M37" s="5">
        <f t="shared" si="7"/>
        <v>869970.791261081</v>
      </c>
      <c r="O37" s="143">
        <f t="shared" si="1"/>
        <v>-32576.107605191803</v>
      </c>
      <c r="P37" s="43">
        <f t="shared" si="3"/>
        <v>-8489.2103946203279</v>
      </c>
      <c r="S37" s="91">
        <f>'Yield Curve'!P128/100</f>
        <v>4.9200000000000001E-2</v>
      </c>
      <c r="T37" s="101">
        <f t="shared" si="8"/>
        <v>8489.2103946203279</v>
      </c>
      <c r="Z37" s="43">
        <f t="shared" si="4"/>
        <v>-30203.20605770114</v>
      </c>
      <c r="AB37" s="27"/>
    </row>
    <row r="38" spans="2:28" x14ac:dyDescent="0.35">
      <c r="B38" s="16">
        <v>29</v>
      </c>
      <c r="C38" s="16">
        <f t="shared" si="2"/>
        <v>2054</v>
      </c>
      <c r="E38" s="87">
        <f>Plusvalia!D40</f>
        <v>912577.29558324965</v>
      </c>
      <c r="F38" s="87">
        <f>VLOOKUP((B38*12)+11,'Flujos Mensuales'!$B$13:$F$374,5,FALSE)</f>
        <v>1509.1421946048979</v>
      </c>
      <c r="G38" s="87">
        <f t="shared" si="0"/>
        <v>911068.1533886448</v>
      </c>
      <c r="I38" s="87">
        <f>VLOOKUP(B38,'Flujos Mensuales'!$M$13:$N$374,2,FALSE)</f>
        <v>23332.876122726855</v>
      </c>
      <c r="J38" s="87">
        <f t="shared" si="5"/>
        <v>9125.7729558324972</v>
      </c>
      <c r="K38" s="5">
        <f t="shared" si="6"/>
        <v>556.48811652853681</v>
      </c>
      <c r="L38" s="5">
        <f t="shared" si="9"/>
        <v>33015.137195087889</v>
      </c>
      <c r="M38" s="5">
        <f t="shared" si="7"/>
        <v>902985.92845616885</v>
      </c>
      <c r="O38" s="143">
        <f t="shared" si="1"/>
        <v>-33015.137195087889</v>
      </c>
      <c r="P38" s="43">
        <f t="shared" si="3"/>
        <v>-8200.1714113021681</v>
      </c>
      <c r="S38" s="91">
        <f>'Yield Curve'!P128/100</f>
        <v>4.9200000000000001E-2</v>
      </c>
      <c r="T38" s="101">
        <f t="shared" si="8"/>
        <v>8200.1714113021681</v>
      </c>
      <c r="Z38" s="43">
        <f t="shared" si="4"/>
        <v>-30527.685888243435</v>
      </c>
      <c r="AB38" s="27"/>
    </row>
    <row r="39" spans="2:28" x14ac:dyDescent="0.35">
      <c r="B39" s="140">
        <v>30</v>
      </c>
      <c r="C39" s="16">
        <f t="shared" si="2"/>
        <v>2055</v>
      </c>
      <c r="E39" s="141">
        <f>Plusvalia!D41</f>
        <v>954259.14063191228</v>
      </c>
      <c r="F39" s="87">
        <v>0</v>
      </c>
      <c r="G39" s="141">
        <f t="shared" si="0"/>
        <v>954259.14063191228</v>
      </c>
      <c r="I39" s="87">
        <f>VLOOKUP(B39,'Flujos Mensuales'!$M$13:$N$374,2,FALSE)</f>
        <v>1947.3353145392243</v>
      </c>
      <c r="J39" s="87">
        <f t="shared" si="5"/>
        <v>9542.5914063191231</v>
      </c>
      <c r="K39" s="5">
        <f t="shared" si="6"/>
        <v>562.05299769382214</v>
      </c>
      <c r="L39" s="5">
        <f t="shared" si="9"/>
        <v>12051.979718552169</v>
      </c>
      <c r="M39" s="5">
        <f t="shared" si="7"/>
        <v>915037.90817472106</v>
      </c>
      <c r="O39" s="143">
        <f>G39-L39</f>
        <v>942207.16091336007</v>
      </c>
      <c r="P39" s="43">
        <f t="shared" si="3"/>
        <v>223047.79952235767</v>
      </c>
      <c r="S39" s="91">
        <f>'Yield Curve'!P128/100</f>
        <v>4.9200000000000001E-2</v>
      </c>
      <c r="T39" s="101">
        <f t="shared" si="8"/>
        <v>2853.0536251765266</v>
      </c>
      <c r="U39" s="160" t="s">
        <v>268</v>
      </c>
      <c r="Z39" s="43">
        <f t="shared" si="4"/>
        <v>868868.59904337593</v>
      </c>
      <c r="AB39" s="27"/>
    </row>
    <row r="40" spans="2:28" x14ac:dyDescent="0.35">
      <c r="B40" s="16">
        <v>31</v>
      </c>
      <c r="C40" s="16">
        <f t="shared" si="2"/>
        <v>2056</v>
      </c>
      <c r="E40" s="87">
        <f>Plusvalia!D42</f>
        <v>997844.79833849333</v>
      </c>
      <c r="F40" s="87">
        <v>0</v>
      </c>
      <c r="G40" s="87">
        <f t="shared" si="0"/>
        <v>997844.79833849333</v>
      </c>
      <c r="I40" s="5">
        <v>0</v>
      </c>
      <c r="J40" s="87">
        <f t="shared" si="5"/>
        <v>9978.4479833849327</v>
      </c>
      <c r="K40" s="5">
        <f t="shared" si="6"/>
        <v>567.67352767076034</v>
      </c>
      <c r="L40" s="5">
        <f t="shared" si="9"/>
        <v>10546.121511055693</v>
      </c>
      <c r="M40" s="5">
        <f t="shared" si="7"/>
        <v>925584.0296857768</v>
      </c>
      <c r="O40" s="143">
        <v>0</v>
      </c>
      <c r="P40" s="43">
        <f t="shared" si="3"/>
        <v>0</v>
      </c>
      <c r="S40" s="91">
        <f t="shared" ref="S40:S49" si="10">S39</f>
        <v>4.9200000000000001E-2</v>
      </c>
      <c r="T40" s="101">
        <f t="shared" si="8"/>
        <v>2379.5017659203827</v>
      </c>
      <c r="U40" s="175" t="s">
        <v>269</v>
      </c>
      <c r="Z40" s="43">
        <f t="shared" si="4"/>
        <v>0</v>
      </c>
      <c r="AB40" s="27"/>
    </row>
    <row r="41" spans="2:28" x14ac:dyDescent="0.35">
      <c r="B41" s="16">
        <v>32</v>
      </c>
      <c r="C41" s="16">
        <f t="shared" si="2"/>
        <v>2057</v>
      </c>
      <c r="E41" s="87">
        <f>Plusvalia!D43</f>
        <v>1043421.2250896943</v>
      </c>
      <c r="F41" s="87">
        <v>0</v>
      </c>
      <c r="G41" s="87">
        <f t="shared" si="0"/>
        <v>1043421.2250896943</v>
      </c>
      <c r="I41" s="5">
        <v>0</v>
      </c>
      <c r="J41" s="87">
        <f t="shared" si="5"/>
        <v>10434.212250896942</v>
      </c>
      <c r="K41" s="5">
        <f t="shared" si="6"/>
        <v>573.35026294746797</v>
      </c>
      <c r="L41" s="5">
        <f t="shared" si="9"/>
        <v>11007.56251384441</v>
      </c>
      <c r="M41" s="5">
        <f t="shared" si="7"/>
        <v>936591.59219962126</v>
      </c>
      <c r="O41" s="143">
        <v>0</v>
      </c>
      <c r="P41" s="43">
        <f t="shared" si="3"/>
        <v>0</v>
      </c>
      <c r="S41" s="91">
        <f t="shared" si="10"/>
        <v>4.9200000000000001E-2</v>
      </c>
      <c r="T41" s="101">
        <f t="shared" si="8"/>
        <v>2367.1519638298901</v>
      </c>
      <c r="U41" s="175" t="s">
        <v>270</v>
      </c>
      <c r="Z41" s="43">
        <f t="shared" si="4"/>
        <v>0</v>
      </c>
      <c r="AB41" s="27"/>
    </row>
    <row r="42" spans="2:28" x14ac:dyDescent="0.35">
      <c r="B42" s="16">
        <v>33</v>
      </c>
      <c r="C42" s="16">
        <f t="shared" si="2"/>
        <v>2058</v>
      </c>
      <c r="E42" s="87">
        <f>Plusvalia!D44</f>
        <v>1091079.3489934646</v>
      </c>
      <c r="F42" s="87">
        <v>0</v>
      </c>
      <c r="G42" s="87">
        <f t="shared" si="0"/>
        <v>1091079.3489934646</v>
      </c>
      <c r="I42" s="5">
        <v>0</v>
      </c>
      <c r="J42" s="87">
        <f t="shared" si="5"/>
        <v>10910.793489934646</v>
      </c>
      <c r="K42" s="5">
        <f t="shared" si="6"/>
        <v>579.0837655769426</v>
      </c>
      <c r="L42" s="5">
        <f t="shared" si="9"/>
        <v>11489.877255511588</v>
      </c>
      <c r="M42" s="5">
        <f t="shared" si="7"/>
        <v>948081.46945513284</v>
      </c>
      <c r="O42" s="143">
        <v>0</v>
      </c>
      <c r="P42" s="43">
        <f t="shared" si="3"/>
        <v>0</v>
      </c>
      <c r="S42" s="91">
        <f t="shared" si="10"/>
        <v>4.9200000000000001E-2</v>
      </c>
      <c r="T42" s="101">
        <f t="shared" si="8"/>
        <v>2355.0063685478244</v>
      </c>
      <c r="Z42" s="43">
        <f t="shared" si="4"/>
        <v>0</v>
      </c>
    </row>
    <row r="43" spans="2:28" x14ac:dyDescent="0.35">
      <c r="B43" s="16">
        <v>34</v>
      </c>
      <c r="C43" s="16">
        <f t="shared" si="2"/>
        <v>2059</v>
      </c>
      <c r="E43" s="87">
        <f>Plusvalia!D45</f>
        <v>1140914.251286837</v>
      </c>
      <c r="F43" s="87">
        <v>0</v>
      </c>
      <c r="G43" s="87">
        <f t="shared" ref="G43:G47" si="11">E43-F43</f>
        <v>1140914.251286837</v>
      </c>
      <c r="I43" s="5">
        <v>0</v>
      </c>
      <c r="J43" s="87">
        <f t="shared" si="5"/>
        <v>11409.142512868371</v>
      </c>
      <c r="K43" s="5">
        <f t="shared" si="6"/>
        <v>584.87460323271205</v>
      </c>
      <c r="L43" s="5">
        <f t="shared" si="9"/>
        <v>11994.017116101084</v>
      </c>
      <c r="M43" s="5">
        <f t="shared" si="7"/>
        <v>960075.48657123395</v>
      </c>
      <c r="O43" s="143">
        <v>0</v>
      </c>
      <c r="P43" s="43">
        <f t="shared" si="3"/>
        <v>0</v>
      </c>
      <c r="S43" s="91">
        <f t="shared" si="10"/>
        <v>4.9200000000000001E-2</v>
      </c>
      <c r="T43" s="101">
        <f t="shared" si="8"/>
        <v>2343.0582147024079</v>
      </c>
      <c r="Z43" s="43">
        <f t="shared" si="4"/>
        <v>0</v>
      </c>
    </row>
    <row r="44" spans="2:28" x14ac:dyDescent="0.35">
      <c r="B44" s="16">
        <v>35</v>
      </c>
      <c r="C44" s="16">
        <f t="shared" si="2"/>
        <v>2060</v>
      </c>
      <c r="E44" s="87">
        <f>Plusvalia!D46</f>
        <v>1193025.356029537</v>
      </c>
      <c r="F44" s="87">
        <v>0</v>
      </c>
      <c r="G44" s="87">
        <f t="shared" si="11"/>
        <v>1193025.356029537</v>
      </c>
      <c r="I44" s="5">
        <v>0</v>
      </c>
      <c r="J44" s="87">
        <f t="shared" si="5"/>
        <v>11930.25356029537</v>
      </c>
      <c r="K44" s="5">
        <f t="shared" si="6"/>
        <v>590.72334926503913</v>
      </c>
      <c r="L44" s="5">
        <f t="shared" si="9"/>
        <v>12520.97690956041</v>
      </c>
      <c r="M44" s="5">
        <f t="shared" si="7"/>
        <v>972596.46348079434</v>
      </c>
      <c r="O44" s="143">
        <v>0</v>
      </c>
      <c r="P44" s="43">
        <f t="shared" si="3"/>
        <v>0</v>
      </c>
      <c r="S44" s="91">
        <f t="shared" si="10"/>
        <v>4.9200000000000001E-2</v>
      </c>
      <c r="T44" s="101">
        <f t="shared" si="8"/>
        <v>2331.300986784885</v>
      </c>
      <c r="Z44" s="43">
        <f t="shared" si="4"/>
        <v>0</v>
      </c>
    </row>
    <row r="45" spans="2:28" x14ac:dyDescent="0.35">
      <c r="B45" s="16">
        <v>36</v>
      </c>
      <c r="C45" s="16">
        <f t="shared" si="2"/>
        <v>2061</v>
      </c>
      <c r="E45" s="87">
        <f>Plusvalia!D47</f>
        <v>1247516.6284618264</v>
      </c>
      <c r="F45" s="87">
        <v>0</v>
      </c>
      <c r="G45" s="87">
        <f t="shared" si="11"/>
        <v>1247516.6284618264</v>
      </c>
      <c r="I45" s="5">
        <v>0</v>
      </c>
      <c r="J45" s="87">
        <f t="shared" si="5"/>
        <v>12475.166284618264</v>
      </c>
      <c r="K45" s="5">
        <f t="shared" si="6"/>
        <v>596.63058275768958</v>
      </c>
      <c r="L45" s="5">
        <f t="shared" si="9"/>
        <v>13071.796867375953</v>
      </c>
      <c r="M45" s="5">
        <f t="shared" si="7"/>
        <v>985668.2603481703</v>
      </c>
      <c r="O45" s="143">
        <v>0</v>
      </c>
      <c r="P45" s="43">
        <f t="shared" si="3"/>
        <v>0</v>
      </c>
      <c r="S45" s="91">
        <f t="shared" si="10"/>
        <v>4.9200000000000001E-2</v>
      </c>
      <c r="T45" s="101">
        <f t="shared" si="8"/>
        <v>2319.7284098239493</v>
      </c>
      <c r="Z45" s="43">
        <f t="shared" si="4"/>
        <v>0</v>
      </c>
    </row>
    <row r="46" spans="2:28" x14ac:dyDescent="0.35">
      <c r="B46" s="16">
        <v>37</v>
      </c>
      <c r="C46" s="16">
        <f t="shared" si="2"/>
        <v>2062</v>
      </c>
      <c r="E46" s="87">
        <f>Plusvalia!D48</f>
        <v>1304496.7824223104</v>
      </c>
      <c r="F46" s="87">
        <v>0</v>
      </c>
      <c r="G46" s="87">
        <f t="shared" si="11"/>
        <v>1304496.7824223104</v>
      </c>
      <c r="I46" s="5">
        <v>0</v>
      </c>
      <c r="J46" s="87">
        <f t="shared" si="5"/>
        <v>13044.967824223104</v>
      </c>
      <c r="K46" s="5">
        <f t="shared" si="6"/>
        <v>602.59688858526647</v>
      </c>
      <c r="L46" s="5">
        <f t="shared" si="9"/>
        <v>13647.564712808371</v>
      </c>
      <c r="M46" s="5">
        <f t="shared" si="7"/>
        <v>999315.82506097865</v>
      </c>
      <c r="O46" s="143">
        <v>0</v>
      </c>
      <c r="P46" s="43">
        <f t="shared" si="3"/>
        <v>0</v>
      </c>
      <c r="S46" s="91">
        <f t="shared" si="10"/>
        <v>4.9200000000000001E-2</v>
      </c>
      <c r="T46" s="101">
        <f t="shared" si="8"/>
        <v>2308.3344404085551</v>
      </c>
      <c r="Z46" s="43">
        <f t="shared" si="4"/>
        <v>0</v>
      </c>
    </row>
    <row r="47" spans="2:28" x14ac:dyDescent="0.35">
      <c r="B47" s="16">
        <v>38</v>
      </c>
      <c r="C47" s="16">
        <f t="shared" si="2"/>
        <v>2063</v>
      </c>
      <c r="E47" s="87">
        <f>Plusvalia!D49</f>
        <v>1364079.4972395292</v>
      </c>
      <c r="F47" s="87">
        <v>0</v>
      </c>
      <c r="G47" s="87">
        <f t="shared" si="11"/>
        <v>1364079.4972395292</v>
      </c>
      <c r="I47" s="5">
        <v>0</v>
      </c>
      <c r="J47" s="87">
        <f t="shared" si="5"/>
        <v>13640.794972395292</v>
      </c>
      <c r="K47" s="5">
        <f t="shared" si="6"/>
        <v>608.62285747111912</v>
      </c>
      <c r="L47" s="5">
        <f t="shared" si="9"/>
        <v>14249.41782986641</v>
      </c>
      <c r="M47" s="5">
        <f t="shared" si="7"/>
        <v>1013565.2428908451</v>
      </c>
      <c r="O47" s="143">
        <v>0</v>
      </c>
      <c r="P47" s="43">
        <f t="shared" si="3"/>
        <v>0</v>
      </c>
      <c r="S47" s="91">
        <f t="shared" si="10"/>
        <v>4.9200000000000001E-2</v>
      </c>
      <c r="T47" s="101">
        <f t="shared" si="8"/>
        <v>2297.1132580460931</v>
      </c>
      <c r="Z47" s="43">
        <f t="shared" si="4"/>
        <v>0</v>
      </c>
    </row>
    <row r="48" spans="2:28" x14ac:dyDescent="0.35">
      <c r="B48" s="16">
        <v>39</v>
      </c>
      <c r="C48" s="16">
        <f t="shared" si="2"/>
        <v>2064</v>
      </c>
      <c r="E48" s="87">
        <f>Plusvalia!D50</f>
        <v>1426383.6445300407</v>
      </c>
      <c r="F48" s="87">
        <v>0</v>
      </c>
      <c r="G48" s="87">
        <f>E48-F48</f>
        <v>1426383.6445300407</v>
      </c>
      <c r="I48" s="5">
        <v>0</v>
      </c>
      <c r="J48" s="87">
        <f t="shared" si="5"/>
        <v>14263.836445300407</v>
      </c>
      <c r="K48" s="5">
        <f t="shared" si="6"/>
        <v>614.7090860458303</v>
      </c>
      <c r="L48" s="5">
        <f t="shared" si="9"/>
        <v>14878.545531346237</v>
      </c>
      <c r="M48" s="5">
        <f t="shared" si="7"/>
        <v>1028443.7884221913</v>
      </c>
      <c r="O48" s="143">
        <v>0</v>
      </c>
      <c r="P48" s="43">
        <f t="shared" si="3"/>
        <v>0</v>
      </c>
      <c r="S48" s="91">
        <f t="shared" si="10"/>
        <v>4.9200000000000001E-2</v>
      </c>
      <c r="T48" s="101">
        <f t="shared" si="8"/>
        <v>2286.0592568434199</v>
      </c>
      <c r="Z48" s="43">
        <f t="shared" si="4"/>
        <v>0</v>
      </c>
    </row>
    <row r="49" spans="2:26" x14ac:dyDescent="0.35">
      <c r="B49" s="16">
        <v>40</v>
      </c>
      <c r="C49" s="16">
        <f t="shared" si="2"/>
        <v>2065</v>
      </c>
      <c r="E49" s="87">
        <f>Plusvalia!D51</f>
        <v>1491533.5253554769</v>
      </c>
      <c r="F49" s="87">
        <v>0</v>
      </c>
      <c r="G49" s="87">
        <f>E49-F49</f>
        <v>1491533.5253554769</v>
      </c>
      <c r="I49" s="5">
        <v>0</v>
      </c>
      <c r="J49" s="87">
        <f t="shared" si="5"/>
        <v>14915.335253554769</v>
      </c>
      <c r="K49" s="5">
        <f t="shared" si="6"/>
        <v>620.85617690628862</v>
      </c>
      <c r="L49" s="5">
        <f t="shared" si="9"/>
        <v>15536.191430461058</v>
      </c>
      <c r="M49" s="5">
        <f t="shared" si="7"/>
        <v>1043979.9798526523</v>
      </c>
      <c r="O49" s="143">
        <v>0</v>
      </c>
      <c r="P49" s="43">
        <f t="shared" si="3"/>
        <v>0</v>
      </c>
      <c r="S49" s="91">
        <f t="shared" si="10"/>
        <v>4.9200000000000001E-2</v>
      </c>
      <c r="T49" s="101">
        <f t="shared" si="8"/>
        <v>2275.1670374986575</v>
      </c>
      <c r="Z49" s="43">
        <f t="shared" si="4"/>
        <v>0</v>
      </c>
    </row>
    <row r="50" spans="2:26" x14ac:dyDescent="0.35">
      <c r="S50" s="70"/>
    </row>
    <row r="51" spans="2:26" x14ac:dyDescent="0.35">
      <c r="S51" s="70"/>
    </row>
    <row r="52" spans="2:26" x14ac:dyDescent="0.35">
      <c r="S52" s="70"/>
    </row>
    <row r="53" spans="2:26" x14ac:dyDescent="0.35">
      <c r="S53" s="92"/>
    </row>
  </sheetData>
  <conditionalFormatting sqref="O9:O49">
    <cfRule type="cellIs" dxfId="10" priority="13" operator="lessThan">
      <formula>0</formula>
    </cfRule>
    <cfRule type="cellIs" dxfId="9" priority="14" operator="greaterThan">
      <formula>0</formula>
    </cfRule>
    <cfRule type="cellIs" dxfId="8" priority="16" operator="equal">
      <formula>"Break point"</formula>
    </cfRule>
  </conditionalFormatting>
  <conditionalFormatting sqref="Q9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W9">
    <cfRule type="cellIs" dxfId="5" priority="1" operator="lessThan">
      <formula>0</formula>
    </cfRule>
    <cfRule type="cellIs" dxfId="4" priority="2" operator="greaterThan">
      <formula>0</formula>
    </cfRule>
  </conditionalFormatting>
  <hyperlinks>
    <hyperlink ref="S8" r:id="rId1" display="Valor Presente" xr:uid="{CFBD45FB-A4FC-40D8-A468-671C1026F824}"/>
    <hyperlink ref="AC9" r:id="rId2" xr:uid="{11A0459D-E316-41E0-B0A1-2F10F1D6823C}"/>
  </hyperlinks>
  <pageMargins left="0.7" right="0.7" top="0.75" bottom="0.75" header="0.3" footer="0.3"/>
  <pageSetup orientation="portrait" horizontalDpi="300" verticalDpi="0" r:id="rId3"/>
  <drawing r:id="rId4"/>
  <legacy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8" operator="equal" id="{955B13C1-EE8D-43A2-93C8-97E36859923B}">
            <xm:f>Principal!$P$53</xm:f>
            <x14:dxf>
              <fill>
                <patternFill>
                  <bgColor rgb="FF00B0F0"/>
                </patternFill>
              </fill>
            </x14:dxf>
          </x14:cfRule>
          <xm:sqref>B9:B49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98EB-4F8E-4008-BDDF-600E40803465}">
  <sheetPr>
    <tabColor theme="0"/>
  </sheetPr>
  <dimension ref="B2:D13"/>
  <sheetViews>
    <sheetView workbookViewId="0">
      <selection activeCell="C19" sqref="C19"/>
    </sheetView>
  </sheetViews>
  <sheetFormatPr defaultRowHeight="14.5" x14ac:dyDescent="0.35"/>
  <cols>
    <col min="1" max="1" width="4.08984375" style="1" customWidth="1"/>
    <col min="2" max="2" width="3.26953125" style="1" customWidth="1"/>
    <col min="3" max="3" width="31.6328125" style="1" bestFit="1" customWidth="1"/>
    <col min="4" max="4" width="10.08984375" style="1" bestFit="1" customWidth="1"/>
    <col min="5" max="16384" width="8.7265625" style="1"/>
  </cols>
  <sheetData>
    <row r="2" spans="2:4" x14ac:dyDescent="0.35">
      <c r="B2" s="190" t="s">
        <v>53</v>
      </c>
      <c r="C2" s="190"/>
      <c r="D2" s="190"/>
    </row>
    <row r="3" spans="2:4" x14ac:dyDescent="0.35">
      <c r="B3" s="10">
        <v>1</v>
      </c>
      <c r="C3" s="2" t="s">
        <v>52</v>
      </c>
      <c r="D3" s="5">
        <f>281*12</f>
        <v>3372</v>
      </c>
    </row>
    <row r="4" spans="2:4" x14ac:dyDescent="0.35">
      <c r="B4" s="10">
        <v>2</v>
      </c>
      <c r="C4" s="2" t="s">
        <v>119</v>
      </c>
      <c r="D4" s="43">
        <f>'Property Tax Zillow'!D15</f>
        <v>4196.1948989862985</v>
      </c>
    </row>
    <row r="5" spans="2:4" x14ac:dyDescent="0.35">
      <c r="B5" s="10">
        <v>3</v>
      </c>
      <c r="C5" s="2" t="s">
        <v>120</v>
      </c>
      <c r="D5" s="43">
        <f>'Property Tax Zillow'!D21</f>
        <v>3912.5630000000001</v>
      </c>
    </row>
    <row r="6" spans="2:4" x14ac:dyDescent="0.35">
      <c r="B6" s="10">
        <v>4</v>
      </c>
      <c r="C6" s="2" t="s">
        <v>121</v>
      </c>
      <c r="D6" s="43">
        <f>'Property Tax Zillow'!D18</f>
        <v>3975.8444746502355</v>
      </c>
    </row>
    <row r="7" spans="2:4" x14ac:dyDescent="0.35">
      <c r="B7" s="10">
        <v>5</v>
      </c>
      <c r="C7" s="2" t="s">
        <v>125</v>
      </c>
      <c r="D7" s="88">
        <f>'Property Tax Millage'!N7</f>
        <v>3835.5651600000001</v>
      </c>
    </row>
    <row r="8" spans="2:4" x14ac:dyDescent="0.35">
      <c r="B8" s="10">
        <v>6</v>
      </c>
      <c r="C8" s="2" t="s">
        <v>71</v>
      </c>
      <c r="D8" s="43">
        <f>'Michigan Property Tax'!T5</f>
        <v>3467</v>
      </c>
    </row>
    <row r="11" spans="2:4" x14ac:dyDescent="0.35">
      <c r="C11" s="37" t="s">
        <v>157</v>
      </c>
    </row>
    <row r="12" spans="2:4" x14ac:dyDescent="0.35">
      <c r="C12" s="2" t="s">
        <v>158</v>
      </c>
    </row>
    <row r="13" spans="2:4" x14ac:dyDescent="0.35">
      <c r="C13" s="2" t="s">
        <v>20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7933-B641-4ABC-BDFF-D8DE0EA4F37A}">
  <sheetPr>
    <tabColor theme="0"/>
  </sheetPr>
  <dimension ref="C2:H5"/>
  <sheetViews>
    <sheetView workbookViewId="0">
      <selection activeCell="I36" sqref="I36"/>
    </sheetView>
  </sheetViews>
  <sheetFormatPr defaultRowHeight="14.5" x14ac:dyDescent="0.35"/>
  <cols>
    <col min="1" max="16384" width="8.7265625" style="1"/>
  </cols>
  <sheetData>
    <row r="2" spans="3:8" ht="26" x14ac:dyDescent="0.6">
      <c r="C2" s="86" t="s">
        <v>135</v>
      </c>
      <c r="D2" s="85"/>
      <c r="E2" s="85"/>
      <c r="F2" s="85"/>
      <c r="G2" s="85"/>
      <c r="H2" s="85"/>
    </row>
    <row r="4" spans="3:8" x14ac:dyDescent="0.35">
      <c r="C4" s="1" t="s">
        <v>134</v>
      </c>
    </row>
    <row r="5" spans="3:8" x14ac:dyDescent="0.35">
      <c r="C5" s="61" t="s">
        <v>133</v>
      </c>
    </row>
  </sheetData>
  <hyperlinks>
    <hyperlink ref="C5" r:id="rId1" xr:uid="{4DF12CD7-44A3-4BCD-B466-9BF1C7BB6D6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C056-1288-4EB8-89DE-EBAF87C986B6}">
  <sheetPr codeName="Sheet4">
    <tabColor theme="7" tint="-0.499984740745262"/>
  </sheetPr>
  <dimension ref="B1:K51"/>
  <sheetViews>
    <sheetView topLeftCell="A4" workbookViewId="0">
      <selection activeCell="G27" sqref="G27"/>
    </sheetView>
  </sheetViews>
  <sheetFormatPr defaultRowHeight="14.5" x14ac:dyDescent="0.35"/>
  <cols>
    <col min="1" max="1" width="3" style="1" customWidth="1"/>
    <col min="2" max="2" width="3.1796875" style="1" customWidth="1"/>
    <col min="3" max="3" width="20.90625" style="20" bestFit="1" customWidth="1"/>
    <col min="4" max="4" width="17.54296875" style="1" bestFit="1" customWidth="1"/>
    <col min="5" max="5" width="8.81640625" style="1" bestFit="1" customWidth="1"/>
    <col min="6" max="16384" width="8.7265625" style="1"/>
  </cols>
  <sheetData>
    <row r="1" spans="3:7" ht="6.5" customHeight="1" x14ac:dyDescent="0.35"/>
    <row r="2" spans="3:7" x14ac:dyDescent="0.35">
      <c r="C2" s="51"/>
      <c r="D2" s="37"/>
      <c r="E2" s="37"/>
      <c r="F2" s="37"/>
      <c r="G2" s="50"/>
    </row>
    <row r="3" spans="3:7" ht="18.5" x14ac:dyDescent="0.45">
      <c r="C3" s="53" t="s">
        <v>56</v>
      </c>
      <c r="D3" s="53"/>
      <c r="E3" s="53"/>
      <c r="F3" s="37"/>
      <c r="G3" s="50"/>
    </row>
    <row r="4" spans="3:7" ht="15" thickBot="1" x14ac:dyDescent="0.4"/>
    <row r="5" spans="3:7" x14ac:dyDescent="0.35">
      <c r="C5" s="67" t="s">
        <v>65</v>
      </c>
      <c r="D5" s="56" t="s">
        <v>24</v>
      </c>
    </row>
    <row r="6" spans="3:7" x14ac:dyDescent="0.35">
      <c r="C6" s="57">
        <v>2017</v>
      </c>
      <c r="D6" s="58">
        <v>2069</v>
      </c>
    </row>
    <row r="7" spans="3:7" x14ac:dyDescent="0.35">
      <c r="C7" s="57">
        <v>2018</v>
      </c>
      <c r="D7" s="58">
        <v>3733</v>
      </c>
    </row>
    <row r="8" spans="3:7" x14ac:dyDescent="0.35">
      <c r="C8" s="57">
        <v>2019</v>
      </c>
      <c r="D8" s="58">
        <v>7012</v>
      </c>
    </row>
    <row r="9" spans="3:7" x14ac:dyDescent="0.35">
      <c r="C9" s="57">
        <v>2020</v>
      </c>
      <c r="D9" s="58">
        <v>2847</v>
      </c>
    </row>
    <row r="10" spans="3:7" x14ac:dyDescent="0.35">
      <c r="C10" s="57">
        <v>2021</v>
      </c>
      <c r="D10" s="58">
        <v>2847</v>
      </c>
    </row>
    <row r="11" spans="3:7" x14ac:dyDescent="0.35">
      <c r="C11" s="57">
        <v>2022</v>
      </c>
      <c r="D11" s="58">
        <v>4865</v>
      </c>
    </row>
    <row r="12" spans="3:7" ht="15" thickBot="1" x14ac:dyDescent="0.4">
      <c r="C12" s="59">
        <v>2023</v>
      </c>
      <c r="D12" s="60">
        <v>2979</v>
      </c>
    </row>
    <row r="13" spans="3:7" x14ac:dyDescent="0.35">
      <c r="C13" s="14"/>
      <c r="D13" s="30"/>
    </row>
    <row r="14" spans="3:7" x14ac:dyDescent="0.35">
      <c r="C14" s="16">
        <v>2024</v>
      </c>
      <c r="D14" s="5">
        <f>(440.69*LN(8))+3227.9</f>
        <v>4144.2890930028871</v>
      </c>
      <c r="E14" s="54" t="s">
        <v>30</v>
      </c>
    </row>
    <row r="15" spans="3:7" x14ac:dyDescent="0.35">
      <c r="C15" s="16">
        <v>2025</v>
      </c>
      <c r="D15" s="64">
        <f>(440.69*LN(9))+3227.9</f>
        <v>4196.1948989862985</v>
      </c>
      <c r="E15" s="54" t="s">
        <v>30</v>
      </c>
    </row>
    <row r="17" spans="2:11" x14ac:dyDescent="0.35">
      <c r="C17" s="16">
        <v>2024</v>
      </c>
      <c r="D17" s="5">
        <f>3152*EXP(0.0258*8)</f>
        <v>3874.5796209165455</v>
      </c>
      <c r="E17" s="55" t="s">
        <v>31</v>
      </c>
    </row>
    <row r="18" spans="2:11" x14ac:dyDescent="0.35">
      <c r="C18" s="16">
        <v>2025</v>
      </c>
      <c r="D18" s="65">
        <f>3152*EXP(0.0258*9)</f>
        <v>3975.8444746502355</v>
      </c>
      <c r="E18" s="55" t="s">
        <v>31</v>
      </c>
    </row>
    <row r="20" spans="2:11" x14ac:dyDescent="0.35">
      <c r="B20" s="2"/>
      <c r="C20" s="16">
        <v>2024</v>
      </c>
      <c r="D20" s="5">
        <f>(29.607*(C20-$C$6+1))+3646.1</f>
        <v>3882.9560000000001</v>
      </c>
      <c r="E20" s="1" t="s">
        <v>23</v>
      </c>
    </row>
    <row r="21" spans="2:11" x14ac:dyDescent="0.35">
      <c r="B21" s="16">
        <v>0</v>
      </c>
      <c r="C21" s="16">
        <v>2025</v>
      </c>
      <c r="D21" s="65">
        <f>(29.607*(C21-$C$6+1))+3646.1</f>
        <v>3912.5630000000001</v>
      </c>
      <c r="E21" s="49">
        <f>(D21-D20)/D20</f>
        <v>7.6248610594608773E-3</v>
      </c>
    </row>
    <row r="22" spans="2:11" x14ac:dyDescent="0.35">
      <c r="B22" s="16">
        <v>1</v>
      </c>
      <c r="C22" s="16">
        <v>2026</v>
      </c>
      <c r="D22" s="5">
        <f t="shared" ref="D22:D51" si="0">(29.607*(C22-$C$6+1))+3646.1</f>
        <v>3942.17</v>
      </c>
      <c r="E22" s="49">
        <f t="shared" ref="E22:E51" si="1">(D22-D21)/D21</f>
        <v>7.5671624968083502E-3</v>
      </c>
    </row>
    <row r="23" spans="2:11" x14ac:dyDescent="0.35">
      <c r="B23" s="16">
        <v>2</v>
      </c>
      <c r="C23" s="16">
        <v>2027</v>
      </c>
      <c r="D23" s="5">
        <f t="shared" si="0"/>
        <v>3971.777</v>
      </c>
      <c r="E23" s="49">
        <f t="shared" si="1"/>
        <v>7.5103306047176986E-3</v>
      </c>
    </row>
    <row r="24" spans="2:11" x14ac:dyDescent="0.35">
      <c r="B24" s="16">
        <v>3</v>
      </c>
      <c r="C24" s="16">
        <v>2028</v>
      </c>
      <c r="D24" s="5">
        <f t="shared" si="0"/>
        <v>4001.384</v>
      </c>
      <c r="E24" s="49">
        <f t="shared" si="1"/>
        <v>7.4543460018022083E-3</v>
      </c>
    </row>
    <row r="25" spans="2:11" x14ac:dyDescent="0.35">
      <c r="B25" s="16">
        <v>4</v>
      </c>
      <c r="C25" s="16">
        <v>2029</v>
      </c>
      <c r="D25" s="5">
        <f t="shared" si="0"/>
        <v>4030.991</v>
      </c>
      <c r="E25" s="49">
        <f t="shared" si="1"/>
        <v>7.3991898803014086E-3</v>
      </c>
    </row>
    <row r="26" spans="2:11" x14ac:dyDescent="0.35">
      <c r="B26" s="16">
        <v>5</v>
      </c>
      <c r="C26" s="16">
        <v>2030</v>
      </c>
      <c r="D26" s="5">
        <f t="shared" si="0"/>
        <v>4060.598</v>
      </c>
      <c r="E26" s="49">
        <f t="shared" si="1"/>
        <v>7.3448439850150923E-3</v>
      </c>
      <c r="G26" s="84" t="s">
        <v>136</v>
      </c>
      <c r="H26" s="84"/>
      <c r="I26" s="84"/>
      <c r="J26" s="84"/>
      <c r="K26" s="84"/>
    </row>
    <row r="27" spans="2:11" x14ac:dyDescent="0.35">
      <c r="B27" s="16">
        <v>6</v>
      </c>
      <c r="C27" s="16">
        <v>2031</v>
      </c>
      <c r="D27" s="5">
        <f t="shared" si="0"/>
        <v>4090.2049999999999</v>
      </c>
      <c r="E27" s="49">
        <f t="shared" si="1"/>
        <v>7.2912905931589314E-3</v>
      </c>
      <c r="G27" s="122">
        <f>AVERAGE(E21:E51)</f>
        <v>6.8680892705246278E-3</v>
      </c>
    </row>
    <row r="28" spans="2:11" x14ac:dyDescent="0.35">
      <c r="B28" s="16">
        <v>7</v>
      </c>
      <c r="C28" s="16">
        <v>2032</v>
      </c>
      <c r="D28" s="5">
        <f t="shared" si="0"/>
        <v>4119.8119999999999</v>
      </c>
      <c r="E28" s="49">
        <f t="shared" si="1"/>
        <v>7.2385124950949823E-3</v>
      </c>
    </row>
    <row r="29" spans="2:11" x14ac:dyDescent="0.35">
      <c r="B29" s="16">
        <v>8</v>
      </c>
      <c r="C29" s="16">
        <v>2033</v>
      </c>
      <c r="D29" s="5">
        <f t="shared" si="0"/>
        <v>4149.4189999999999</v>
      </c>
      <c r="E29" s="49">
        <f t="shared" si="1"/>
        <v>7.1864929758930678E-3</v>
      </c>
    </row>
    <row r="30" spans="2:11" x14ac:dyDescent="0.35">
      <c r="B30" s="16">
        <v>9</v>
      </c>
      <c r="C30" s="16">
        <v>2034</v>
      </c>
      <c r="D30" s="5">
        <f t="shared" si="0"/>
        <v>4179.0259999999998</v>
      </c>
      <c r="E30" s="49">
        <f t="shared" si="1"/>
        <v>7.1352157976815479E-3</v>
      </c>
    </row>
    <row r="31" spans="2:11" x14ac:dyDescent="0.35">
      <c r="B31" s="16">
        <v>10</v>
      </c>
      <c r="C31" s="16">
        <v>2035</v>
      </c>
      <c r="D31" s="5">
        <f t="shared" si="0"/>
        <v>4208.6329999999998</v>
      </c>
      <c r="E31" s="49">
        <f t="shared" si="1"/>
        <v>7.0846651827483178E-3</v>
      </c>
    </row>
    <row r="32" spans="2:11" x14ac:dyDescent="0.35">
      <c r="B32" s="16">
        <v>11</v>
      </c>
      <c r="C32" s="16">
        <v>2036</v>
      </c>
      <c r="D32" s="5">
        <f t="shared" si="0"/>
        <v>4238.24</v>
      </c>
      <c r="E32" s="49">
        <f t="shared" si="1"/>
        <v>7.0348257973550966E-3</v>
      </c>
    </row>
    <row r="33" spans="2:5" x14ac:dyDescent="0.35">
      <c r="B33" s="16">
        <v>12</v>
      </c>
      <c r="C33" s="16">
        <v>2037</v>
      </c>
      <c r="D33" s="5">
        <f t="shared" si="0"/>
        <v>4267.8469999999998</v>
      </c>
      <c r="E33" s="49">
        <f t="shared" si="1"/>
        <v>6.9856827362301263E-3</v>
      </c>
    </row>
    <row r="34" spans="2:5" x14ac:dyDescent="0.35">
      <c r="B34" s="16">
        <v>13</v>
      </c>
      <c r="C34" s="16">
        <v>2038</v>
      </c>
      <c r="D34" s="5">
        <f t="shared" si="0"/>
        <v>4297.4539999999997</v>
      </c>
      <c r="E34" s="49">
        <f t="shared" si="1"/>
        <v>6.9372215077063383E-3</v>
      </c>
    </row>
    <row r="35" spans="2:5" x14ac:dyDescent="0.35">
      <c r="B35" s="16">
        <v>14</v>
      </c>
      <c r="C35" s="16">
        <v>2039</v>
      </c>
      <c r="D35" s="5">
        <f t="shared" si="0"/>
        <v>4327.0609999999997</v>
      </c>
      <c r="E35" s="49">
        <f t="shared" si="1"/>
        <v>6.88942801947385E-3</v>
      </c>
    </row>
    <row r="36" spans="2:5" x14ac:dyDescent="0.35">
      <c r="B36" s="16">
        <v>15</v>
      </c>
      <c r="C36" s="16">
        <v>2040</v>
      </c>
      <c r="D36" s="5">
        <f t="shared" si="0"/>
        <v>4356.6679999999997</v>
      </c>
      <c r="E36" s="49">
        <f t="shared" si="1"/>
        <v>6.8422885649173822E-3</v>
      </c>
    </row>
    <row r="37" spans="2:5" x14ac:dyDescent="0.35">
      <c r="B37" s="16">
        <v>16</v>
      </c>
      <c r="C37" s="16">
        <v>2041</v>
      </c>
      <c r="D37" s="5">
        <f t="shared" si="0"/>
        <v>4386.2749999999996</v>
      </c>
      <c r="E37" s="49">
        <f t="shared" si="1"/>
        <v>6.7957898100107633E-3</v>
      </c>
    </row>
    <row r="38" spans="2:5" x14ac:dyDescent="0.35">
      <c r="B38" s="16">
        <v>17</v>
      </c>
      <c r="C38" s="16">
        <v>2042</v>
      </c>
      <c r="D38" s="5">
        <f t="shared" si="0"/>
        <v>4415.8819999999996</v>
      </c>
      <c r="E38" s="49">
        <f t="shared" si="1"/>
        <v>6.7499187807421954E-3</v>
      </c>
    </row>
    <row r="39" spans="2:5" x14ac:dyDescent="0.35">
      <c r="B39" s="16">
        <v>18</v>
      </c>
      <c r="C39" s="16">
        <v>2043</v>
      </c>
      <c r="D39" s="5">
        <f t="shared" si="0"/>
        <v>4445.4889999999996</v>
      </c>
      <c r="E39" s="49">
        <f t="shared" si="1"/>
        <v>6.7046628510453801E-3</v>
      </c>
    </row>
    <row r="40" spans="2:5" x14ac:dyDescent="0.35">
      <c r="B40" s="16">
        <v>19</v>
      </c>
      <c r="C40" s="16">
        <v>2044</v>
      </c>
      <c r="D40" s="5">
        <f t="shared" si="0"/>
        <v>4475.0959999999995</v>
      </c>
      <c r="E40" s="49">
        <f t="shared" si="1"/>
        <v>6.6600097312129155E-3</v>
      </c>
    </row>
    <row r="41" spans="2:5" x14ac:dyDescent="0.35">
      <c r="B41" s="16">
        <v>20</v>
      </c>
      <c r="C41" s="16">
        <v>2045</v>
      </c>
      <c r="D41" s="5">
        <f t="shared" si="0"/>
        <v>4504.7029999999995</v>
      </c>
      <c r="E41" s="49">
        <f t="shared" si="1"/>
        <v>6.6159474567696365E-3</v>
      </c>
    </row>
    <row r="42" spans="2:5" x14ac:dyDescent="0.35">
      <c r="B42" s="16">
        <v>21</v>
      </c>
      <c r="C42" s="16">
        <v>2046</v>
      </c>
      <c r="D42" s="5">
        <f t="shared" si="0"/>
        <v>4534.3099999999995</v>
      </c>
      <c r="E42" s="49">
        <f t="shared" si="1"/>
        <v>6.5724643777847229E-3</v>
      </c>
    </row>
    <row r="43" spans="2:5" x14ac:dyDescent="0.35">
      <c r="B43" s="16">
        <v>22</v>
      </c>
      <c r="C43" s="16">
        <v>2047</v>
      </c>
      <c r="D43" s="5">
        <f t="shared" si="0"/>
        <v>4563.9169999999995</v>
      </c>
      <c r="E43" s="49">
        <f t="shared" si="1"/>
        <v>6.5295491486025382E-3</v>
      </c>
    </row>
    <row r="44" spans="2:5" x14ac:dyDescent="0.35">
      <c r="B44" s="16">
        <v>23</v>
      </c>
      <c r="C44" s="16">
        <v>2048</v>
      </c>
      <c r="D44" s="5">
        <f t="shared" si="0"/>
        <v>4593.5239999999994</v>
      </c>
      <c r="E44" s="49">
        <f t="shared" si="1"/>
        <v>6.4871907179731743E-3</v>
      </c>
    </row>
    <row r="45" spans="2:5" x14ac:dyDescent="0.35">
      <c r="B45" s="16">
        <v>24</v>
      </c>
      <c r="C45" s="16">
        <v>2049</v>
      </c>
      <c r="D45" s="5">
        <f t="shared" si="0"/>
        <v>4623.1309999999994</v>
      </c>
      <c r="E45" s="49">
        <f t="shared" si="1"/>
        <v>6.4453783195646689E-3</v>
      </c>
    </row>
    <row r="46" spans="2:5" x14ac:dyDescent="0.35">
      <c r="B46" s="16">
        <v>25</v>
      </c>
      <c r="C46" s="16">
        <v>2050</v>
      </c>
      <c r="D46" s="5">
        <f t="shared" si="0"/>
        <v>4652.7379999999994</v>
      </c>
      <c r="E46" s="49">
        <f t="shared" si="1"/>
        <v>6.4041014628397888E-3</v>
      </c>
    </row>
    <row r="47" spans="2:5" x14ac:dyDescent="0.35">
      <c r="B47" s="16">
        <v>26</v>
      </c>
      <c r="C47" s="16">
        <v>2051</v>
      </c>
      <c r="D47" s="5">
        <f t="shared" si="0"/>
        <v>4682.3449999999993</v>
      </c>
      <c r="E47" s="49">
        <f t="shared" si="1"/>
        <v>6.3633499242811385E-3</v>
      </c>
    </row>
    <row r="48" spans="2:5" x14ac:dyDescent="0.35">
      <c r="B48" s="16">
        <v>27</v>
      </c>
      <c r="C48" s="16">
        <v>2052</v>
      </c>
      <c r="D48" s="5">
        <f t="shared" si="0"/>
        <v>4711.9519999999993</v>
      </c>
      <c r="E48" s="49">
        <f t="shared" si="1"/>
        <v>6.3231137389491753E-3</v>
      </c>
    </row>
    <row r="49" spans="2:5" x14ac:dyDescent="0.35">
      <c r="B49" s="16">
        <v>28</v>
      </c>
      <c r="C49" s="16">
        <v>2053</v>
      </c>
      <c r="D49" s="5">
        <f t="shared" si="0"/>
        <v>4741.5590000000002</v>
      </c>
      <c r="E49" s="49">
        <f t="shared" si="1"/>
        <v>6.2833831923586837E-3</v>
      </c>
    </row>
    <row r="50" spans="2:5" x14ac:dyDescent="0.35">
      <c r="B50" s="16">
        <v>29</v>
      </c>
      <c r="C50" s="16">
        <v>2054</v>
      </c>
      <c r="D50" s="5">
        <f t="shared" si="0"/>
        <v>4771.1660000000002</v>
      </c>
      <c r="E50" s="49">
        <f t="shared" si="1"/>
        <v>6.2441488126584463E-3</v>
      </c>
    </row>
    <row r="51" spans="2:5" x14ac:dyDescent="0.35">
      <c r="B51" s="16">
        <v>30</v>
      </c>
      <c r="C51" s="16">
        <v>2055</v>
      </c>
      <c r="D51" s="5">
        <f t="shared" si="0"/>
        <v>4800.7730000000001</v>
      </c>
      <c r="E51" s="49">
        <f t="shared" si="1"/>
        <v>6.2054013631049456E-3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6DAB-6F51-408B-A294-C518DD15DB8E}">
  <sheetPr>
    <tabColor theme="7" tint="-0.499984740745262"/>
  </sheetPr>
  <dimension ref="A2:T37"/>
  <sheetViews>
    <sheetView workbookViewId="0">
      <selection activeCell="C7" sqref="C7"/>
    </sheetView>
  </sheetViews>
  <sheetFormatPr defaultRowHeight="14.5" x14ac:dyDescent="0.35"/>
  <cols>
    <col min="1" max="19" width="8.7265625" style="1"/>
    <col min="20" max="20" width="18.81640625" style="1" customWidth="1"/>
    <col min="21" max="16384" width="8.7265625" style="1"/>
  </cols>
  <sheetData>
    <row r="2" spans="20:20" x14ac:dyDescent="0.35">
      <c r="T2" s="83"/>
    </row>
    <row r="3" spans="20:20" ht="15.5" x14ac:dyDescent="0.35">
      <c r="T3" s="90" t="s">
        <v>66</v>
      </c>
    </row>
    <row r="4" spans="20:20" ht="15.5" x14ac:dyDescent="0.35">
      <c r="T4" s="90" t="s">
        <v>67</v>
      </c>
    </row>
    <row r="5" spans="20:20" x14ac:dyDescent="0.35">
      <c r="T5" s="5">
        <v>3467</v>
      </c>
    </row>
    <row r="37" spans="1:2" x14ac:dyDescent="0.35">
      <c r="A37" s="1" t="s">
        <v>60</v>
      </c>
      <c r="B37" s="61" t="s">
        <v>68</v>
      </c>
    </row>
  </sheetData>
  <hyperlinks>
    <hyperlink ref="B37" r:id="rId1" xr:uid="{22E5D26E-6594-4C6D-9FF6-E7C5BC25377D}"/>
  </hyperlink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CDE8-CBD8-411B-94B5-D2FE1C0D9205}">
  <sheetPr>
    <tabColor theme="7" tint="-0.499984740745262"/>
  </sheetPr>
  <dimension ref="B2:N14"/>
  <sheetViews>
    <sheetView workbookViewId="0">
      <selection activeCell="C7" sqref="C7"/>
    </sheetView>
  </sheetViews>
  <sheetFormatPr defaultRowHeight="14.5" x14ac:dyDescent="0.35"/>
  <cols>
    <col min="1" max="1" width="8.7265625" style="1"/>
    <col min="2" max="2" width="10.08984375" style="1" customWidth="1"/>
    <col min="3" max="12" width="8.7265625" style="1"/>
    <col min="13" max="13" width="14.1796875" style="1" bestFit="1" customWidth="1"/>
    <col min="14" max="14" width="10.453125" style="1" bestFit="1" customWidth="1"/>
    <col min="15" max="16384" width="8.7265625" style="1"/>
  </cols>
  <sheetData>
    <row r="2" spans="2:14" ht="28.5" x14ac:dyDescent="0.65">
      <c r="B2" s="108" t="s">
        <v>112</v>
      </c>
      <c r="C2" s="37"/>
      <c r="D2" s="37"/>
      <c r="E2" s="37"/>
      <c r="F2" s="37"/>
      <c r="G2" s="37"/>
      <c r="H2" s="37"/>
      <c r="I2" s="37"/>
      <c r="J2" s="37"/>
      <c r="K2" s="37"/>
      <c r="M2" s="191" t="s">
        <v>122</v>
      </c>
      <c r="N2" s="191"/>
    </row>
    <row r="4" spans="2:14" x14ac:dyDescent="0.35">
      <c r="M4" s="107" t="s">
        <v>115</v>
      </c>
      <c r="N4" s="103">
        <f>Principal!D9</f>
        <v>249900</v>
      </c>
    </row>
    <row r="5" spans="2:14" x14ac:dyDescent="0.35">
      <c r="B5" s="109" t="s">
        <v>124</v>
      </c>
      <c r="C5" s="110" t="s">
        <v>113</v>
      </c>
      <c r="M5" s="107" t="s">
        <v>116</v>
      </c>
      <c r="N5" s="104">
        <f>N4*0.5</f>
        <v>124950</v>
      </c>
    </row>
    <row r="6" spans="2:14" x14ac:dyDescent="0.35">
      <c r="M6" s="107" t="s">
        <v>117</v>
      </c>
      <c r="N6" s="105">
        <v>30.6968</v>
      </c>
    </row>
    <row r="7" spans="2:14" x14ac:dyDescent="0.35">
      <c r="M7" s="107" t="s">
        <v>118</v>
      </c>
      <c r="N7" s="106">
        <f>N5*N6/1000</f>
        <v>3835.5651600000001</v>
      </c>
    </row>
    <row r="14" spans="2:14" x14ac:dyDescent="0.35">
      <c r="M14" s="109" t="s">
        <v>123</v>
      </c>
      <c r="N14" s="110" t="s">
        <v>114</v>
      </c>
    </row>
  </sheetData>
  <mergeCells count="1">
    <mergeCell ref="M2:N2"/>
  </mergeCells>
  <hyperlinks>
    <hyperlink ref="C5" r:id="rId1" xr:uid="{C513BE33-B2A8-4D61-870A-F7E54FC9E18D}"/>
    <hyperlink ref="N14" r:id="rId2" xr:uid="{0F878DF0-24E9-46A8-8B1D-E397D728A0F3}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991B-2AF1-49C8-8477-E2E0903579C9}">
  <sheetPr codeName="Sheet5"/>
  <dimension ref="B1:N43"/>
  <sheetViews>
    <sheetView zoomScale="85" zoomScaleNormal="85" workbookViewId="0">
      <selection activeCell="K9" sqref="K9"/>
    </sheetView>
  </sheetViews>
  <sheetFormatPr defaultRowHeight="14.5" x14ac:dyDescent="0.35"/>
  <cols>
    <col min="1" max="1" width="8.7265625" style="1"/>
    <col min="2" max="2" width="34" style="1" bestFit="1" customWidth="1"/>
    <col min="3" max="3" width="18.36328125" style="1" bestFit="1" customWidth="1"/>
    <col min="4" max="4" width="19.26953125" style="1" bestFit="1" customWidth="1"/>
    <col min="5" max="5" width="17.08984375" style="1" customWidth="1"/>
    <col min="6" max="6" width="17.7265625" style="1" bestFit="1" customWidth="1"/>
    <col min="7" max="7" width="8.7265625" style="1"/>
    <col min="8" max="8" width="15.81640625" style="1" bestFit="1" customWidth="1"/>
    <col min="9" max="9" width="24.6328125" style="1" bestFit="1" customWidth="1"/>
    <col min="10" max="10" width="25.36328125" style="1" bestFit="1" customWidth="1"/>
    <col min="11" max="11" width="17.7265625" style="1" bestFit="1" customWidth="1"/>
    <col min="12" max="12" width="8.7265625" style="1"/>
    <col min="13" max="13" width="21.08984375" style="1" bestFit="1" customWidth="1"/>
    <col min="14" max="14" width="11.08984375" style="1" bestFit="1" customWidth="1"/>
    <col min="15" max="16384" width="8.7265625" style="1"/>
  </cols>
  <sheetData>
    <row r="1" spans="2:14" x14ac:dyDescent="0.35">
      <c r="B1" s="1" t="s">
        <v>40</v>
      </c>
    </row>
    <row r="2" spans="2:14" x14ac:dyDescent="0.35">
      <c r="B2" s="22"/>
    </row>
    <row r="3" spans="2:14" x14ac:dyDescent="0.35">
      <c r="B3" s="2" t="s">
        <v>0</v>
      </c>
      <c r="C3" s="3">
        <f>Principal!D13</f>
        <v>7.0000000000000007E-2</v>
      </c>
      <c r="D3" s="25"/>
      <c r="N3" s="34"/>
    </row>
    <row r="4" spans="2:14" x14ac:dyDescent="0.35">
      <c r="B4" s="2" t="s">
        <v>1</v>
      </c>
      <c r="C4" s="2">
        <v>1</v>
      </c>
      <c r="D4" s="1" t="str">
        <f>IF(C4=1,"Anual",IF(C4=12,"Mensual"))</f>
        <v>Anual</v>
      </c>
      <c r="N4" s="34"/>
    </row>
    <row r="5" spans="2:14" x14ac:dyDescent="0.35">
      <c r="B5" s="2" t="s">
        <v>2</v>
      </c>
      <c r="C5" s="4">
        <f>C3/C4</f>
        <v>7.0000000000000007E-2</v>
      </c>
    </row>
    <row r="6" spans="2:14" x14ac:dyDescent="0.35">
      <c r="B6" s="2" t="s">
        <v>3</v>
      </c>
      <c r="C6" s="2">
        <f>Principal!D11</f>
        <v>30</v>
      </c>
    </row>
    <row r="7" spans="2:14" x14ac:dyDescent="0.35">
      <c r="B7" s="2" t="s">
        <v>4</v>
      </c>
      <c r="C7" s="38">
        <f>Principal!D9</f>
        <v>249900</v>
      </c>
    </row>
    <row r="8" spans="2:14" x14ac:dyDescent="0.35">
      <c r="B8" s="2" t="s">
        <v>15</v>
      </c>
      <c r="C8" s="6">
        <f>1/(1+C5)</f>
        <v>0.93457943925233644</v>
      </c>
    </row>
    <row r="9" spans="2:14" x14ac:dyDescent="0.35">
      <c r="B9" s="2" t="s">
        <v>47</v>
      </c>
      <c r="C9" s="7">
        <f>(1-C8^C6)/C5</f>
        <v>12.409041183505858</v>
      </c>
      <c r="D9" s="1" t="s">
        <v>7</v>
      </c>
    </row>
    <row r="10" spans="2:14" x14ac:dyDescent="0.35">
      <c r="B10" s="2" t="s">
        <v>5</v>
      </c>
      <c r="C10" s="5">
        <f>C7/C9</f>
        <v>20138.542237426689</v>
      </c>
      <c r="D10" s="1" t="s">
        <v>8</v>
      </c>
    </row>
    <row r="12" spans="2:14" ht="54" customHeight="1" x14ac:dyDescent="0.35">
      <c r="B12" s="8" t="s">
        <v>35</v>
      </c>
      <c r="C12" s="9" t="s">
        <v>32</v>
      </c>
      <c r="D12" s="9" t="s">
        <v>17</v>
      </c>
      <c r="E12" s="9" t="s">
        <v>33</v>
      </c>
      <c r="F12" s="9" t="s">
        <v>18</v>
      </c>
    </row>
    <row r="13" spans="2:14" x14ac:dyDescent="0.35">
      <c r="B13" s="10">
        <v>0</v>
      </c>
      <c r="C13" s="11">
        <v>0</v>
      </c>
      <c r="D13" s="11">
        <v>0</v>
      </c>
      <c r="E13" s="11">
        <v>0</v>
      </c>
      <c r="F13" s="11">
        <f>C7</f>
        <v>249900</v>
      </c>
      <c r="H13" s="32">
        <f>SUM(C13:C42)</f>
        <v>584017.72488537396</v>
      </c>
      <c r="I13" s="32">
        <f>SUM(D13:D42)</f>
        <v>352938.79239698773</v>
      </c>
      <c r="J13" s="32">
        <f>SUM(E13:E42)</f>
        <v>231078.93248838634</v>
      </c>
      <c r="K13" s="14"/>
      <c r="N13" s="30"/>
    </row>
    <row r="14" spans="2:14" x14ac:dyDescent="0.35">
      <c r="B14" s="10">
        <v>1</v>
      </c>
      <c r="C14" s="11">
        <f>$C$10</f>
        <v>20138.542237426689</v>
      </c>
      <c r="D14" s="11">
        <f>F13*$C$5</f>
        <v>17493</v>
      </c>
      <c r="E14" s="11">
        <f>C14-D14</f>
        <v>2645.5422374266891</v>
      </c>
      <c r="F14" s="11">
        <f>F13-E14</f>
        <v>247254.45776257332</v>
      </c>
      <c r="H14" s="15" t="s">
        <v>9</v>
      </c>
      <c r="I14" s="16" t="s">
        <v>11</v>
      </c>
      <c r="J14" s="16" t="s">
        <v>12</v>
      </c>
      <c r="K14" s="14"/>
      <c r="M14" s="34"/>
    </row>
    <row r="15" spans="2:14" x14ac:dyDescent="0.35">
      <c r="B15" s="10">
        <v>2</v>
      </c>
      <c r="C15" s="11">
        <f t="shared" ref="C15:C43" si="0">$C$10</f>
        <v>20138.542237426689</v>
      </c>
      <c r="D15" s="11">
        <f>F14*$C$5</f>
        <v>17307.812043380134</v>
      </c>
      <c r="E15" s="11">
        <f t="shared" ref="E15" si="1">C15-D15</f>
        <v>2830.730194046555</v>
      </c>
      <c r="F15" s="11">
        <f t="shared" ref="F15" si="2">F14-E15</f>
        <v>244423.72756852675</v>
      </c>
      <c r="H15" s="17" t="s">
        <v>10</v>
      </c>
      <c r="I15" s="14"/>
      <c r="J15" s="14"/>
      <c r="K15" s="14"/>
      <c r="M15" s="34"/>
      <c r="N15" s="30"/>
    </row>
    <row r="16" spans="2:14" x14ac:dyDescent="0.35">
      <c r="B16" s="10">
        <v>3</v>
      </c>
      <c r="C16" s="11">
        <f t="shared" si="0"/>
        <v>20138.542237426689</v>
      </c>
      <c r="D16" s="11">
        <f>F15*$C$5</f>
        <v>17109.660929796875</v>
      </c>
      <c r="E16" s="11">
        <f t="shared" ref="E16:E43" si="3">C16-D16</f>
        <v>3028.8813076298138</v>
      </c>
      <c r="F16" s="11">
        <f t="shared" ref="F16:F43" si="4">F15-E16</f>
        <v>241394.84626089694</v>
      </c>
      <c r="H16" s="17" t="s">
        <v>13</v>
      </c>
      <c r="I16" s="14"/>
      <c r="J16" s="16" t="s">
        <v>36</v>
      </c>
      <c r="K16" s="14"/>
      <c r="M16" s="34"/>
    </row>
    <row r="17" spans="2:14" x14ac:dyDescent="0.35">
      <c r="B17" s="10">
        <v>4</v>
      </c>
      <c r="C17" s="11">
        <f t="shared" si="0"/>
        <v>20138.542237426689</v>
      </c>
      <c r="D17" s="11">
        <f t="shared" ref="D17:D43" si="5">F16*$C$5</f>
        <v>16897.639238262789</v>
      </c>
      <c r="E17" s="11">
        <f t="shared" si="3"/>
        <v>3240.9029991638999</v>
      </c>
      <c r="F17" s="11">
        <f t="shared" si="4"/>
        <v>238153.94326173305</v>
      </c>
      <c r="H17" s="18" t="s">
        <v>14</v>
      </c>
      <c r="I17" s="14"/>
      <c r="J17" s="32">
        <f>J13+I13</f>
        <v>584017.72488537407</v>
      </c>
      <c r="K17" s="20" t="s">
        <v>16</v>
      </c>
      <c r="M17" s="34"/>
    </row>
    <row r="18" spans="2:14" x14ac:dyDescent="0.35">
      <c r="B18" s="10">
        <v>5</v>
      </c>
      <c r="C18" s="11">
        <f t="shared" si="0"/>
        <v>20138.542237426689</v>
      </c>
      <c r="D18" s="11">
        <f t="shared" si="5"/>
        <v>16670.776028321314</v>
      </c>
      <c r="E18" s="11">
        <f t="shared" si="3"/>
        <v>3467.7662091053753</v>
      </c>
      <c r="F18" s="11">
        <f t="shared" si="4"/>
        <v>234686.17705262767</v>
      </c>
      <c r="H18" s="14"/>
      <c r="I18" s="14"/>
      <c r="J18" s="14"/>
      <c r="K18" s="14"/>
      <c r="M18" s="34"/>
    </row>
    <row r="19" spans="2:14" x14ac:dyDescent="0.35">
      <c r="B19" s="10">
        <v>6</v>
      </c>
      <c r="C19" s="11">
        <f t="shared" si="0"/>
        <v>20138.542237426689</v>
      </c>
      <c r="D19" s="11">
        <f t="shared" si="5"/>
        <v>16428.032393683938</v>
      </c>
      <c r="E19" s="11">
        <f t="shared" si="3"/>
        <v>3710.5098437427514</v>
      </c>
      <c r="F19" s="11">
        <f t="shared" si="4"/>
        <v>230975.6672088849</v>
      </c>
      <c r="M19" s="34"/>
      <c r="N19" s="27"/>
    </row>
    <row r="20" spans="2:14" x14ac:dyDescent="0.35">
      <c r="B20" s="10">
        <v>7</v>
      </c>
      <c r="C20" s="11">
        <f t="shared" si="0"/>
        <v>20138.542237426689</v>
      </c>
      <c r="D20" s="11">
        <f t="shared" si="5"/>
        <v>16168.296704621944</v>
      </c>
      <c r="E20" s="11">
        <f t="shared" si="3"/>
        <v>3970.2455328047454</v>
      </c>
      <c r="F20" s="11">
        <f t="shared" si="4"/>
        <v>227005.42167608015</v>
      </c>
      <c r="M20" s="34"/>
    </row>
    <row r="21" spans="2:14" x14ac:dyDescent="0.35">
      <c r="B21" s="10">
        <v>8</v>
      </c>
      <c r="C21" s="11">
        <f t="shared" si="0"/>
        <v>20138.542237426689</v>
      </c>
      <c r="D21" s="11">
        <f t="shared" si="5"/>
        <v>15890.379517325611</v>
      </c>
      <c r="E21" s="11">
        <f t="shared" si="3"/>
        <v>4248.1627201010779</v>
      </c>
      <c r="F21" s="11">
        <f t="shared" si="4"/>
        <v>222757.25895597908</v>
      </c>
      <c r="M21" s="34"/>
    </row>
    <row r="22" spans="2:14" x14ac:dyDescent="0.35">
      <c r="B22" s="10">
        <v>9</v>
      </c>
      <c r="C22" s="11">
        <f t="shared" si="0"/>
        <v>20138.542237426689</v>
      </c>
      <c r="D22" s="11">
        <f t="shared" si="5"/>
        <v>15593.008126918538</v>
      </c>
      <c r="E22" s="11">
        <f t="shared" si="3"/>
        <v>4545.5341105081516</v>
      </c>
      <c r="F22" s="11">
        <f t="shared" si="4"/>
        <v>218211.72484547092</v>
      </c>
      <c r="M22" s="34"/>
    </row>
    <row r="23" spans="2:14" x14ac:dyDescent="0.35">
      <c r="B23" s="10">
        <v>10</v>
      </c>
      <c r="C23" s="11">
        <f t="shared" si="0"/>
        <v>20138.542237426689</v>
      </c>
      <c r="D23" s="11">
        <f t="shared" si="5"/>
        <v>15274.820739182966</v>
      </c>
      <c r="E23" s="11">
        <f t="shared" si="3"/>
        <v>4863.7214982437235</v>
      </c>
      <c r="F23" s="11">
        <f t="shared" si="4"/>
        <v>213348.0033472272</v>
      </c>
      <c r="M23" s="34"/>
    </row>
    <row r="24" spans="2:14" x14ac:dyDescent="0.35">
      <c r="B24" s="10">
        <v>11</v>
      </c>
      <c r="C24" s="11">
        <f t="shared" si="0"/>
        <v>20138.542237426689</v>
      </c>
      <c r="D24" s="11">
        <f t="shared" si="5"/>
        <v>14934.360234305906</v>
      </c>
      <c r="E24" s="11">
        <f t="shared" si="3"/>
        <v>5204.1820031207826</v>
      </c>
      <c r="F24" s="11">
        <f t="shared" si="4"/>
        <v>208143.82134410643</v>
      </c>
      <c r="M24" s="34"/>
      <c r="N24" s="31"/>
    </row>
    <row r="25" spans="2:14" x14ac:dyDescent="0.35">
      <c r="B25" s="10">
        <v>12</v>
      </c>
      <c r="C25" s="11">
        <f t="shared" si="0"/>
        <v>20138.542237426689</v>
      </c>
      <c r="D25" s="11">
        <f t="shared" si="5"/>
        <v>14570.067494087451</v>
      </c>
      <c r="E25" s="11">
        <f t="shared" si="3"/>
        <v>5568.4747433392386</v>
      </c>
      <c r="F25" s="11">
        <f t="shared" si="4"/>
        <v>202575.3466007672</v>
      </c>
      <c r="H25" s="27"/>
      <c r="M25" s="34"/>
    </row>
    <row r="26" spans="2:14" x14ac:dyDescent="0.35">
      <c r="B26" s="10">
        <v>13</v>
      </c>
      <c r="C26" s="11">
        <f t="shared" si="0"/>
        <v>20138.542237426689</v>
      </c>
      <c r="D26" s="11">
        <f t="shared" si="5"/>
        <v>14180.274262053705</v>
      </c>
      <c r="E26" s="11">
        <f t="shared" si="3"/>
        <v>5958.2679753729844</v>
      </c>
      <c r="F26" s="11">
        <f t="shared" si="4"/>
        <v>196617.07862539421</v>
      </c>
      <c r="H26" s="27"/>
      <c r="M26" s="34"/>
    </row>
    <row r="27" spans="2:14" x14ac:dyDescent="0.35">
      <c r="B27" s="10">
        <v>14</v>
      </c>
      <c r="C27" s="11">
        <f t="shared" si="0"/>
        <v>20138.542237426689</v>
      </c>
      <c r="D27" s="11">
        <f t="shared" si="5"/>
        <v>13763.195503777595</v>
      </c>
      <c r="E27" s="11">
        <f t="shared" si="3"/>
        <v>6375.3467336490939</v>
      </c>
      <c r="F27" s="11">
        <f t="shared" si="4"/>
        <v>190241.73189174512</v>
      </c>
      <c r="H27" s="27"/>
      <c r="M27" s="34"/>
    </row>
    <row r="28" spans="2:14" x14ac:dyDescent="0.35">
      <c r="B28" s="10">
        <v>15</v>
      </c>
      <c r="C28" s="11">
        <f t="shared" si="0"/>
        <v>20138.542237426689</v>
      </c>
      <c r="D28" s="11">
        <f t="shared" si="5"/>
        <v>13316.921232422159</v>
      </c>
      <c r="E28" s="11">
        <f t="shared" si="3"/>
        <v>6821.6210050045302</v>
      </c>
      <c r="F28" s="11">
        <f t="shared" si="4"/>
        <v>183420.11088674059</v>
      </c>
      <c r="H28" s="27"/>
      <c r="M28" s="34"/>
    </row>
    <row r="29" spans="2:14" x14ac:dyDescent="0.35">
      <c r="B29" s="10">
        <v>16</v>
      </c>
      <c r="C29" s="11">
        <f t="shared" si="0"/>
        <v>20138.542237426689</v>
      </c>
      <c r="D29" s="11">
        <f t="shared" si="5"/>
        <v>12839.407762071842</v>
      </c>
      <c r="E29" s="11">
        <f t="shared" si="3"/>
        <v>7299.1344753548474</v>
      </c>
      <c r="F29" s="11">
        <f t="shared" si="4"/>
        <v>176120.97641138575</v>
      </c>
      <c r="H29" s="27"/>
      <c r="M29" s="34"/>
    </row>
    <row r="30" spans="2:14" x14ac:dyDescent="0.35">
      <c r="B30" s="10">
        <v>17</v>
      </c>
      <c r="C30" s="11">
        <f t="shared" si="0"/>
        <v>20138.542237426689</v>
      </c>
      <c r="D30" s="11">
        <f t="shared" si="5"/>
        <v>12328.468348797003</v>
      </c>
      <c r="E30" s="11">
        <f t="shared" si="3"/>
        <v>7810.0738886296858</v>
      </c>
      <c r="F30" s="11">
        <f t="shared" si="4"/>
        <v>168310.90252275608</v>
      </c>
      <c r="H30" s="27"/>
      <c r="M30" s="34"/>
    </row>
    <row r="31" spans="2:14" x14ac:dyDescent="0.35">
      <c r="B31" s="10">
        <v>18</v>
      </c>
      <c r="C31" s="11">
        <f t="shared" si="0"/>
        <v>20138.542237426689</v>
      </c>
      <c r="D31" s="11">
        <f t="shared" si="5"/>
        <v>11781.763176592927</v>
      </c>
      <c r="E31" s="11">
        <f t="shared" si="3"/>
        <v>8356.7790608337618</v>
      </c>
      <c r="F31" s="11">
        <f t="shared" si="4"/>
        <v>159954.12346192231</v>
      </c>
      <c r="H31" s="27"/>
      <c r="M31" s="34"/>
    </row>
    <row r="32" spans="2:14" x14ac:dyDescent="0.35">
      <c r="B32" s="10">
        <v>19</v>
      </c>
      <c r="C32" s="11">
        <f t="shared" si="0"/>
        <v>20138.542237426689</v>
      </c>
      <c r="D32" s="11">
        <f t="shared" si="5"/>
        <v>11196.788642334563</v>
      </c>
      <c r="E32" s="11">
        <f t="shared" si="3"/>
        <v>8941.7535950921265</v>
      </c>
      <c r="F32" s="11">
        <f t="shared" si="4"/>
        <v>151012.36986683018</v>
      </c>
      <c r="H32" s="27"/>
      <c r="M32" s="34"/>
    </row>
    <row r="33" spans="2:13" x14ac:dyDescent="0.35">
      <c r="B33" s="10">
        <v>20</v>
      </c>
      <c r="C33" s="11">
        <f t="shared" si="0"/>
        <v>20138.542237426689</v>
      </c>
      <c r="D33" s="11">
        <f t="shared" si="5"/>
        <v>10570.865890678113</v>
      </c>
      <c r="E33" s="11">
        <f t="shared" si="3"/>
        <v>9567.6763467485762</v>
      </c>
      <c r="F33" s="11">
        <f t="shared" si="4"/>
        <v>141444.69352008161</v>
      </c>
      <c r="H33" s="27"/>
      <c r="M33" s="34"/>
    </row>
    <row r="34" spans="2:13" x14ac:dyDescent="0.35">
      <c r="B34" s="10">
        <v>21</v>
      </c>
      <c r="C34" s="11">
        <f t="shared" si="0"/>
        <v>20138.542237426689</v>
      </c>
      <c r="D34" s="11">
        <f t="shared" si="5"/>
        <v>9901.1285464057128</v>
      </c>
      <c r="E34" s="11">
        <f t="shared" si="3"/>
        <v>10237.413691020976</v>
      </c>
      <c r="F34" s="11">
        <f t="shared" si="4"/>
        <v>131207.27982906063</v>
      </c>
      <c r="H34" s="27"/>
      <c r="M34" s="34"/>
    </row>
    <row r="35" spans="2:13" x14ac:dyDescent="0.35">
      <c r="B35" s="10">
        <v>22</v>
      </c>
      <c r="C35" s="11">
        <f t="shared" si="0"/>
        <v>20138.542237426689</v>
      </c>
      <c r="D35" s="11">
        <f t="shared" si="5"/>
        <v>9184.5095880342451</v>
      </c>
      <c r="E35" s="11">
        <f t="shared" si="3"/>
        <v>10954.032649392444</v>
      </c>
      <c r="F35" s="11">
        <f t="shared" si="4"/>
        <v>120253.24717966819</v>
      </c>
      <c r="H35" s="27"/>
      <c r="M35" s="34"/>
    </row>
    <row r="36" spans="2:13" x14ac:dyDescent="0.35">
      <c r="B36" s="10">
        <v>23</v>
      </c>
      <c r="C36" s="11">
        <f t="shared" si="0"/>
        <v>20138.542237426689</v>
      </c>
      <c r="D36" s="11">
        <f t="shared" si="5"/>
        <v>8417.7273025767736</v>
      </c>
      <c r="E36" s="11">
        <f t="shared" si="3"/>
        <v>11720.814934849916</v>
      </c>
      <c r="F36" s="11">
        <f t="shared" si="4"/>
        <v>108532.43224481828</v>
      </c>
      <c r="H36" s="27"/>
      <c r="M36" s="34"/>
    </row>
    <row r="37" spans="2:13" x14ac:dyDescent="0.35">
      <c r="B37" s="10">
        <v>24</v>
      </c>
      <c r="C37" s="11">
        <f t="shared" si="0"/>
        <v>20138.542237426689</v>
      </c>
      <c r="D37" s="11">
        <f t="shared" si="5"/>
        <v>7597.2702571372802</v>
      </c>
      <c r="E37" s="11">
        <f t="shared" si="3"/>
        <v>12541.27198028941</v>
      </c>
      <c r="F37" s="11">
        <f t="shared" si="4"/>
        <v>95991.160264528866</v>
      </c>
      <c r="H37" s="27"/>
      <c r="M37" s="34"/>
    </row>
    <row r="38" spans="2:13" x14ac:dyDescent="0.35">
      <c r="B38" s="10">
        <v>25</v>
      </c>
      <c r="C38" s="11">
        <f t="shared" si="0"/>
        <v>20138.542237426689</v>
      </c>
      <c r="D38" s="11">
        <f t="shared" si="5"/>
        <v>6719.3812185170209</v>
      </c>
      <c r="E38" s="11">
        <f t="shared" si="3"/>
        <v>13419.161018909668</v>
      </c>
      <c r="F38" s="11">
        <f t="shared" si="4"/>
        <v>82571.999245619198</v>
      </c>
      <c r="H38" s="27"/>
      <c r="M38" s="34"/>
    </row>
    <row r="39" spans="2:13" x14ac:dyDescent="0.35">
      <c r="B39" s="10">
        <v>26</v>
      </c>
      <c r="C39" s="11">
        <f t="shared" si="0"/>
        <v>20138.542237426689</v>
      </c>
      <c r="D39" s="11">
        <f t="shared" si="5"/>
        <v>5780.0399471933442</v>
      </c>
      <c r="E39" s="11">
        <f t="shared" si="3"/>
        <v>14358.502290233344</v>
      </c>
      <c r="F39" s="11">
        <f t="shared" si="4"/>
        <v>68213.496955385854</v>
      </c>
      <c r="H39" s="27"/>
      <c r="M39" s="34"/>
    </row>
    <row r="40" spans="2:13" x14ac:dyDescent="0.35">
      <c r="B40" s="10">
        <v>27</v>
      </c>
      <c r="C40" s="11">
        <f t="shared" si="0"/>
        <v>20138.542237426689</v>
      </c>
      <c r="D40" s="11">
        <f t="shared" si="5"/>
        <v>4774.9447868770103</v>
      </c>
      <c r="E40" s="11">
        <f t="shared" si="3"/>
        <v>15363.597450549678</v>
      </c>
      <c r="F40" s="11">
        <f t="shared" si="4"/>
        <v>52849.899504836176</v>
      </c>
      <c r="H40" s="27"/>
      <c r="M40" s="34"/>
    </row>
    <row r="41" spans="2:13" x14ac:dyDescent="0.35">
      <c r="B41" s="10">
        <v>28</v>
      </c>
      <c r="C41" s="11">
        <f t="shared" si="0"/>
        <v>20138.542237426689</v>
      </c>
      <c r="D41" s="11">
        <f t="shared" si="5"/>
        <v>3699.4929653385325</v>
      </c>
      <c r="E41" s="11">
        <f t="shared" si="3"/>
        <v>16439.049272088156</v>
      </c>
      <c r="F41" s="11">
        <f t="shared" si="4"/>
        <v>36410.850232748024</v>
      </c>
      <c r="M41" s="34"/>
    </row>
    <row r="42" spans="2:13" x14ac:dyDescent="0.35">
      <c r="B42" s="10">
        <v>29</v>
      </c>
      <c r="C42" s="11">
        <f t="shared" si="0"/>
        <v>20138.542237426689</v>
      </c>
      <c r="D42" s="11">
        <f t="shared" si="5"/>
        <v>2548.7595162923617</v>
      </c>
      <c r="E42" s="11">
        <f t="shared" si="3"/>
        <v>17589.782721134328</v>
      </c>
      <c r="F42" s="11">
        <f t="shared" si="4"/>
        <v>18821.067511613695</v>
      </c>
      <c r="M42" s="34"/>
    </row>
    <row r="43" spans="2:13" x14ac:dyDescent="0.35">
      <c r="B43" s="10">
        <v>30</v>
      </c>
      <c r="C43" s="11">
        <f t="shared" si="0"/>
        <v>20138.542237426689</v>
      </c>
      <c r="D43" s="11">
        <f t="shared" si="5"/>
        <v>1317.4747258129587</v>
      </c>
      <c r="E43" s="11">
        <f t="shared" si="3"/>
        <v>18821.067511613732</v>
      </c>
      <c r="F43" s="11">
        <f t="shared" si="4"/>
        <v>-3.637978807091713E-11</v>
      </c>
      <c r="M43" s="34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151D-A367-4670-8B35-6C72072A2C8A}">
  <sheetPr>
    <tabColor theme="7" tint="-0.499984740745262"/>
  </sheetPr>
  <dimension ref="C3:D12"/>
  <sheetViews>
    <sheetView workbookViewId="0">
      <selection activeCell="H24" sqref="H24"/>
    </sheetView>
  </sheetViews>
  <sheetFormatPr defaultRowHeight="14.5" x14ac:dyDescent="0.35"/>
  <cols>
    <col min="1" max="16384" width="8.7265625" style="1"/>
  </cols>
  <sheetData>
    <row r="3" spans="3:4" ht="26" x14ac:dyDescent="0.6">
      <c r="C3" s="86" t="s">
        <v>132</v>
      </c>
      <c r="D3" s="83"/>
    </row>
    <row r="5" spans="3:4" x14ac:dyDescent="0.35">
      <c r="C5" s="1" t="s">
        <v>127</v>
      </c>
    </row>
    <row r="6" spans="3:4" x14ac:dyDescent="0.35">
      <c r="C6" s="61" t="s">
        <v>126</v>
      </c>
    </row>
    <row r="8" spans="3:4" x14ac:dyDescent="0.35">
      <c r="C8" s="1" t="s">
        <v>129</v>
      </c>
    </row>
    <row r="9" spans="3:4" x14ac:dyDescent="0.35">
      <c r="C9" s="61" t="s">
        <v>128</v>
      </c>
    </row>
    <row r="11" spans="3:4" x14ac:dyDescent="0.35">
      <c r="C11" s="1" t="s">
        <v>131</v>
      </c>
    </row>
    <row r="12" spans="3:4" x14ac:dyDescent="0.35">
      <c r="C12" s="61" t="s">
        <v>130</v>
      </c>
    </row>
  </sheetData>
  <hyperlinks>
    <hyperlink ref="C6" r:id="rId1" location="f7T5JD21xn" xr:uid="{3A3BED95-6916-4FD0-8012-5D2271F33769}"/>
    <hyperlink ref="C9" r:id="rId2" xr:uid="{AD3757FA-6248-44E3-8ECD-B74F744E071F}"/>
    <hyperlink ref="C12" r:id="rId3" xr:uid="{50AD0410-ABEA-43B4-A57C-C2B5A0E75B3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1772-EAF7-40D3-A903-1AB0A03BE054}">
  <sheetPr codeName="Sheet3">
    <tabColor rgb="FF00B0F0"/>
  </sheetPr>
  <dimension ref="B1:J51"/>
  <sheetViews>
    <sheetView workbookViewId="0">
      <selection activeCell="G51" sqref="G51"/>
    </sheetView>
  </sheetViews>
  <sheetFormatPr defaultRowHeight="14.5" x14ac:dyDescent="0.35"/>
  <cols>
    <col min="1" max="1" width="2.81640625" style="1" bestFit="1" customWidth="1"/>
    <col min="2" max="2" width="7.6328125" style="1" bestFit="1" customWidth="1"/>
    <col min="3" max="3" width="29.36328125" style="20" customWidth="1"/>
    <col min="4" max="4" width="18" style="1" bestFit="1" customWidth="1"/>
    <col min="5" max="5" width="10.36328125" style="1" bestFit="1" customWidth="1"/>
    <col min="6" max="6" width="16.81640625" style="1" bestFit="1" customWidth="1"/>
    <col min="7" max="7" width="8.7265625" style="1"/>
    <col min="8" max="8" width="10.453125" style="1" customWidth="1"/>
    <col min="9" max="16384" width="8.7265625" style="1"/>
  </cols>
  <sheetData>
    <row r="1" spans="2:10" ht="5" customHeight="1" x14ac:dyDescent="0.35"/>
    <row r="2" spans="2:10" x14ac:dyDescent="0.35">
      <c r="C2" s="51"/>
      <c r="D2" s="37"/>
      <c r="E2" s="37"/>
      <c r="G2" s="1" t="s">
        <v>60</v>
      </c>
      <c r="H2" s="61" t="s">
        <v>59</v>
      </c>
    </row>
    <row r="3" spans="2:10" ht="18.5" x14ac:dyDescent="0.45">
      <c r="C3" s="192" t="s">
        <v>55</v>
      </c>
      <c r="D3" s="192"/>
      <c r="E3" s="192"/>
    </row>
    <row r="4" spans="2:10" x14ac:dyDescent="0.35">
      <c r="C4" s="44"/>
      <c r="H4" s="111" t="s">
        <v>82</v>
      </c>
      <c r="I4" s="111" t="s">
        <v>82</v>
      </c>
      <c r="J4" s="111" t="s">
        <v>82</v>
      </c>
    </row>
    <row r="5" spans="2:10" x14ac:dyDescent="0.35">
      <c r="C5" s="45" t="s">
        <v>57</v>
      </c>
      <c r="D5" s="10" t="s">
        <v>21</v>
      </c>
      <c r="E5" s="10" t="s">
        <v>22</v>
      </c>
      <c r="F5" s="45" t="s">
        <v>64</v>
      </c>
      <c r="H5" s="111" t="s">
        <v>61</v>
      </c>
      <c r="I5" s="111" t="s">
        <v>62</v>
      </c>
      <c r="J5" s="111" t="s">
        <v>63</v>
      </c>
    </row>
    <row r="6" spans="2:10" x14ac:dyDescent="0.35">
      <c r="C6" s="45">
        <v>2014</v>
      </c>
      <c r="D6" s="46">
        <v>104000</v>
      </c>
      <c r="E6" s="46">
        <v>61</v>
      </c>
      <c r="F6" s="10"/>
      <c r="H6" s="10"/>
      <c r="I6" s="10"/>
      <c r="J6" s="10"/>
    </row>
    <row r="7" spans="2:10" x14ac:dyDescent="0.35">
      <c r="C7" s="45">
        <v>2022</v>
      </c>
      <c r="D7" s="46">
        <v>217900</v>
      </c>
      <c r="E7" s="46">
        <v>127</v>
      </c>
      <c r="F7" s="47">
        <f>((D7-D6)/D6)/(C7-C6)</f>
        <v>0.13689903846153847</v>
      </c>
      <c r="H7" s="62">
        <f>((D7/D6)^(1/(C7-C6)))-1</f>
        <v>9.6864514121524303E-2</v>
      </c>
      <c r="I7" s="47">
        <f>((D7/D6)-1)/(C7-C6)</f>
        <v>0.13689903846153845</v>
      </c>
      <c r="J7" s="47">
        <f>LN(D7/D6)/(C7-C6)</f>
        <v>9.2455667851150183E-2</v>
      </c>
    </row>
    <row r="8" spans="2:10" x14ac:dyDescent="0.35">
      <c r="C8" s="45">
        <v>2025</v>
      </c>
      <c r="D8" s="46">
        <v>249900</v>
      </c>
      <c r="E8" s="46">
        <v>146</v>
      </c>
      <c r="F8" s="47">
        <f>((D8-D7)/D7)/(C8-C7)</f>
        <v>4.8952118708887875E-2</v>
      </c>
      <c r="H8" s="62">
        <f>((D8/D7)^(1/(C8-C7)))-1</f>
        <v>4.6734026067547507E-2</v>
      </c>
      <c r="I8" s="47">
        <f>((D8/D7)-1)/(C8-C7)</f>
        <v>4.8952118708887861E-2</v>
      </c>
      <c r="J8" s="63">
        <f>LN(D8/D7)/(C8-C7)</f>
        <v>4.56748652967775E-2</v>
      </c>
    </row>
    <row r="10" spans="2:10" ht="15.5" x14ac:dyDescent="0.35">
      <c r="B10" s="10" t="s">
        <v>88</v>
      </c>
      <c r="C10" s="16" t="s">
        <v>87</v>
      </c>
      <c r="D10" s="52" t="s">
        <v>54</v>
      </c>
      <c r="E10" s="45" t="s">
        <v>58</v>
      </c>
    </row>
    <row r="11" spans="2:10" x14ac:dyDescent="0.35">
      <c r="B11" s="10">
        <v>0</v>
      </c>
      <c r="C11" s="16">
        <v>2025</v>
      </c>
      <c r="D11" s="48">
        <f>D8</f>
        <v>249900</v>
      </c>
      <c r="E11" s="2"/>
    </row>
    <row r="12" spans="2:10" x14ac:dyDescent="0.35">
      <c r="B12" s="10">
        <v>1</v>
      </c>
      <c r="C12" s="16">
        <v>2026</v>
      </c>
      <c r="D12" s="48">
        <f>$D$11*(1+$J$8)^B12</f>
        <v>261314.14883766472</v>
      </c>
      <c r="E12" s="49">
        <f>(D12-D11)/D11</f>
        <v>4.5674865296777584E-2</v>
      </c>
    </row>
    <row r="13" spans="2:10" x14ac:dyDescent="0.35">
      <c r="B13" s="10">
        <v>2</v>
      </c>
      <c r="C13" s="16">
        <v>2027</v>
      </c>
      <c r="D13" s="48">
        <f t="shared" ref="D13:D51" si="0">$D$11*(1+$J$8)^B13</f>
        <v>273249.63738596713</v>
      </c>
      <c r="E13" s="49">
        <f t="shared" ref="E13:E51" si="1">(D13-D12)/D12</f>
        <v>4.5674865296777535E-2</v>
      </c>
    </row>
    <row r="14" spans="2:10" x14ac:dyDescent="0.35">
      <c r="B14" s="10">
        <v>3</v>
      </c>
      <c r="C14" s="16">
        <v>2028</v>
      </c>
      <c r="D14" s="48">
        <f t="shared" si="0"/>
        <v>285730.27776596451</v>
      </c>
      <c r="E14" s="49">
        <f t="shared" si="1"/>
        <v>4.5674865296777618E-2</v>
      </c>
    </row>
    <row r="15" spans="2:10" x14ac:dyDescent="0.35">
      <c r="B15" s="10">
        <v>4</v>
      </c>
      <c r="C15" s="16">
        <v>2029</v>
      </c>
      <c r="D15" s="48">
        <f t="shared" si="0"/>
        <v>298780.96971413575</v>
      </c>
      <c r="E15" s="49">
        <f t="shared" si="1"/>
        <v>4.5674865296777473E-2</v>
      </c>
    </row>
    <row r="16" spans="2:10" x14ac:dyDescent="0.35">
      <c r="B16" s="10">
        <v>5</v>
      </c>
      <c r="C16" s="16">
        <v>2030</v>
      </c>
      <c r="D16" s="48">
        <f t="shared" si="0"/>
        <v>312427.75025906949</v>
      </c>
      <c r="E16" s="49">
        <f t="shared" si="1"/>
        <v>4.5674865296777632E-2</v>
      </c>
    </row>
    <row r="17" spans="2:5" x14ac:dyDescent="0.35">
      <c r="B17" s="10">
        <v>6</v>
      </c>
      <c r="C17" s="16">
        <v>2031</v>
      </c>
      <c r="D17" s="48">
        <f t="shared" si="0"/>
        <v>326697.84566712781</v>
      </c>
      <c r="E17" s="49">
        <f t="shared" si="1"/>
        <v>4.5674865296777743E-2</v>
      </c>
    </row>
    <row r="18" spans="2:5" x14ac:dyDescent="0.35">
      <c r="B18" s="10">
        <v>7</v>
      </c>
      <c r="C18" s="16">
        <v>2032</v>
      </c>
      <c r="D18" s="48">
        <f t="shared" si="0"/>
        <v>341619.72576072125</v>
      </c>
      <c r="E18" s="49">
        <f t="shared" si="1"/>
        <v>4.5674865296777417E-2</v>
      </c>
    </row>
    <row r="19" spans="2:5" x14ac:dyDescent="0.35">
      <c r="B19" s="10">
        <v>8</v>
      </c>
      <c r="C19" s="16">
        <v>2033</v>
      </c>
      <c r="D19" s="48">
        <f t="shared" si="0"/>
        <v>357223.16071756434</v>
      </c>
      <c r="E19" s="49">
        <f t="shared" si="1"/>
        <v>4.5674865296777729E-2</v>
      </c>
    </row>
    <row r="20" spans="2:5" x14ac:dyDescent="0.35">
      <c r="B20" s="10">
        <v>9</v>
      </c>
      <c r="C20" s="16">
        <v>2034</v>
      </c>
      <c r="D20" s="48">
        <f t="shared" si="0"/>
        <v>373539.28046422818</v>
      </c>
      <c r="E20" s="49">
        <f t="shared" si="1"/>
        <v>4.5674865296777473E-2</v>
      </c>
    </row>
    <row r="21" spans="2:5" x14ac:dyDescent="0.35">
      <c r="B21" s="10">
        <v>10</v>
      </c>
      <c r="C21" s="16">
        <v>2035</v>
      </c>
      <c r="D21" s="48">
        <f t="shared" si="0"/>
        <v>390600.63678248704</v>
      </c>
      <c r="E21" s="49">
        <f t="shared" si="1"/>
        <v>4.5674865296777611E-2</v>
      </c>
    </row>
    <row r="22" spans="2:5" x14ac:dyDescent="0.35">
      <c r="B22" s="10">
        <v>11</v>
      </c>
      <c r="C22" s="16">
        <v>2036</v>
      </c>
      <c r="D22" s="48">
        <f t="shared" si="0"/>
        <v>408441.26825236261</v>
      </c>
      <c r="E22" s="49">
        <f t="shared" si="1"/>
        <v>4.567486529677741E-2</v>
      </c>
    </row>
    <row r="23" spans="2:5" x14ac:dyDescent="0.35">
      <c r="B23" s="10">
        <v>12</v>
      </c>
      <c r="C23" s="16">
        <v>2037</v>
      </c>
      <c r="D23" s="48">
        <f t="shared" si="0"/>
        <v>427096.76816143439</v>
      </c>
      <c r="E23" s="49">
        <f t="shared" si="1"/>
        <v>4.5674865296777861E-2</v>
      </c>
    </row>
    <row r="24" spans="2:5" x14ac:dyDescent="0.35">
      <c r="B24" s="10">
        <v>13</v>
      </c>
      <c r="C24" s="16">
        <v>2038</v>
      </c>
      <c r="D24" s="48">
        <f t="shared" si="0"/>
        <v>446604.35551589687</v>
      </c>
      <c r="E24" s="49">
        <f t="shared" si="1"/>
        <v>4.5674865296777389E-2</v>
      </c>
    </row>
    <row r="25" spans="2:5" x14ac:dyDescent="0.35">
      <c r="B25" s="10">
        <v>14</v>
      </c>
      <c r="C25" s="16">
        <v>2039</v>
      </c>
      <c r="D25" s="48">
        <f t="shared" si="0"/>
        <v>467002.9492950397</v>
      </c>
      <c r="E25" s="49">
        <f t="shared" si="1"/>
        <v>4.567486529677775E-2</v>
      </c>
    </row>
    <row r="26" spans="2:5" x14ac:dyDescent="0.35">
      <c r="B26" s="10">
        <v>15</v>
      </c>
      <c r="C26" s="16">
        <v>2040</v>
      </c>
      <c r="D26" s="48">
        <f t="shared" si="0"/>
        <v>488333.24609728839</v>
      </c>
      <c r="E26" s="49">
        <f t="shared" si="1"/>
        <v>4.5674865296777369E-2</v>
      </c>
    </row>
    <row r="27" spans="2:5" x14ac:dyDescent="0.35">
      <c r="B27" s="10">
        <v>16</v>
      </c>
      <c r="C27" s="16">
        <v>2041</v>
      </c>
      <c r="D27" s="48">
        <f t="shared" si="0"/>
        <v>510637.80133272021</v>
      </c>
      <c r="E27" s="49">
        <f t="shared" si="1"/>
        <v>4.567486529677766E-2</v>
      </c>
    </row>
    <row r="28" spans="2:5" x14ac:dyDescent="0.35">
      <c r="B28" s="10">
        <v>17</v>
      </c>
      <c r="C28" s="16">
        <v>2042</v>
      </c>
      <c r="D28" s="48">
        <f t="shared" si="0"/>
        <v>533961.11412403488</v>
      </c>
      <c r="E28" s="49">
        <f t="shared" si="1"/>
        <v>4.5674865296777598E-2</v>
      </c>
    </row>
    <row r="29" spans="2:5" x14ac:dyDescent="0.35">
      <c r="B29" s="10">
        <v>18</v>
      </c>
      <c r="C29" s="16">
        <v>2043</v>
      </c>
      <c r="D29" s="48">
        <f t="shared" si="0"/>
        <v>558349.71608536749</v>
      </c>
      <c r="E29" s="49">
        <f t="shared" si="1"/>
        <v>4.5674865296777639E-2</v>
      </c>
    </row>
    <row r="30" spans="2:5" x14ac:dyDescent="0.35">
      <c r="B30" s="10">
        <v>19</v>
      </c>
      <c r="C30" s="16">
        <v>2044</v>
      </c>
      <c r="D30" s="48">
        <f t="shared" si="0"/>
        <v>583852.26415606064</v>
      </c>
      <c r="E30" s="49">
        <f t="shared" si="1"/>
        <v>4.5674865296777563E-2</v>
      </c>
    </row>
    <row r="31" spans="2:5" x14ac:dyDescent="0.35">
      <c r="B31" s="10">
        <v>20</v>
      </c>
      <c r="C31" s="16">
        <v>2045</v>
      </c>
      <c r="D31" s="48">
        <f t="shared" si="0"/>
        <v>610519.63767460722</v>
      </c>
      <c r="E31" s="49">
        <f t="shared" si="1"/>
        <v>4.5674865296777417E-2</v>
      </c>
    </row>
    <row r="32" spans="2:5" x14ac:dyDescent="0.35">
      <c r="B32" s="10">
        <v>21</v>
      </c>
      <c r="C32" s="16">
        <v>2046</v>
      </c>
      <c r="D32" s="48">
        <f t="shared" si="0"/>
        <v>638405.03988643235</v>
      </c>
      <c r="E32" s="49">
        <f t="shared" si="1"/>
        <v>4.5674865296777563E-2</v>
      </c>
    </row>
    <row r="33" spans="2:5" x14ac:dyDescent="0.35">
      <c r="B33" s="10">
        <v>22</v>
      </c>
      <c r="C33" s="16">
        <v>2047</v>
      </c>
      <c r="D33" s="48">
        <f t="shared" si="0"/>
        <v>667564.10408802913</v>
      </c>
      <c r="E33" s="49">
        <f t="shared" si="1"/>
        <v>4.5674865296777674E-2</v>
      </c>
    </row>
    <row r="34" spans="2:5" x14ac:dyDescent="0.35">
      <c r="B34" s="10">
        <v>23</v>
      </c>
      <c r="C34" s="16">
        <v>2048</v>
      </c>
      <c r="D34" s="48">
        <f t="shared" si="0"/>
        <v>698055.00461921375</v>
      </c>
      <c r="E34" s="49">
        <f t="shared" si="1"/>
        <v>4.5674865296777417E-2</v>
      </c>
    </row>
    <row r="35" spans="2:5" x14ac:dyDescent="0.35">
      <c r="B35" s="10">
        <v>24</v>
      </c>
      <c r="C35" s="16">
        <v>2049</v>
      </c>
      <c r="D35" s="48">
        <f t="shared" si="0"/>
        <v>729938.57292493794</v>
      </c>
      <c r="E35" s="49">
        <f t="shared" si="1"/>
        <v>4.5674865296777785E-2</v>
      </c>
    </row>
    <row r="36" spans="2:5" x14ac:dyDescent="0.35">
      <c r="B36" s="10">
        <v>25</v>
      </c>
      <c r="C36" s="16">
        <v>2050</v>
      </c>
      <c r="D36" s="48">
        <f t="shared" si="0"/>
        <v>763278.41891820647</v>
      </c>
      <c r="E36" s="49">
        <f t="shared" si="1"/>
        <v>4.5674865296777493E-2</v>
      </c>
    </row>
    <row r="37" spans="2:5" x14ac:dyDescent="0.35">
      <c r="B37" s="10">
        <v>26</v>
      </c>
      <c r="C37" s="16">
        <v>2051</v>
      </c>
      <c r="D37" s="48">
        <f t="shared" si="0"/>
        <v>798141.05788623297</v>
      </c>
      <c r="E37" s="49">
        <f t="shared" si="1"/>
        <v>4.5674865296777646E-2</v>
      </c>
    </row>
    <row r="38" spans="2:5" x14ac:dyDescent="0.35">
      <c r="B38" s="10">
        <v>27</v>
      </c>
      <c r="C38" s="16">
        <v>2052</v>
      </c>
      <c r="D38" s="48">
        <f t="shared" si="0"/>
        <v>834596.04319301411</v>
      </c>
      <c r="E38" s="49">
        <f t="shared" si="1"/>
        <v>4.5674865296777438E-2</v>
      </c>
    </row>
    <row r="39" spans="2:5" x14ac:dyDescent="0.35">
      <c r="B39" s="10">
        <v>28</v>
      </c>
      <c r="C39" s="16">
        <v>2053</v>
      </c>
      <c r="D39" s="48">
        <f t="shared" si="0"/>
        <v>872716.10504307877</v>
      </c>
      <c r="E39" s="49">
        <f t="shared" si="1"/>
        <v>4.5674865296777799E-2</v>
      </c>
    </row>
    <row r="40" spans="2:5" x14ac:dyDescent="0.35">
      <c r="B40" s="10">
        <v>29</v>
      </c>
      <c r="C40" s="16">
        <v>2054</v>
      </c>
      <c r="D40" s="48">
        <f t="shared" si="0"/>
        <v>912577.29558324965</v>
      </c>
      <c r="E40" s="49">
        <f t="shared" si="1"/>
        <v>4.5674865296777424E-2</v>
      </c>
    </row>
    <row r="41" spans="2:5" x14ac:dyDescent="0.35">
      <c r="B41" s="10">
        <v>30</v>
      </c>
      <c r="C41" s="16">
        <v>2055</v>
      </c>
      <c r="D41" s="48">
        <f t="shared" si="0"/>
        <v>954259.14063191228</v>
      </c>
      <c r="E41" s="49">
        <f t="shared" si="1"/>
        <v>4.5674865296777709E-2</v>
      </c>
    </row>
    <row r="42" spans="2:5" x14ac:dyDescent="0.35">
      <c r="B42" s="10">
        <v>31</v>
      </c>
      <c r="C42" s="16">
        <v>2056</v>
      </c>
      <c r="D42" s="48">
        <f t="shared" si="0"/>
        <v>997844.79833849333</v>
      </c>
      <c r="E42" s="49">
        <f t="shared" si="1"/>
        <v>4.5674865296777299E-2</v>
      </c>
    </row>
    <row r="43" spans="2:5" x14ac:dyDescent="0.35">
      <c r="B43" s="10">
        <v>32</v>
      </c>
      <c r="C43" s="16">
        <v>2057</v>
      </c>
      <c r="D43" s="48">
        <f t="shared" si="0"/>
        <v>1043421.2250896943</v>
      </c>
      <c r="E43" s="49">
        <f t="shared" si="1"/>
        <v>4.5674865296777632E-2</v>
      </c>
    </row>
    <row r="44" spans="2:5" x14ac:dyDescent="0.35">
      <c r="B44" s="10">
        <v>33</v>
      </c>
      <c r="C44" s="16">
        <v>2058</v>
      </c>
      <c r="D44" s="48">
        <f t="shared" si="0"/>
        <v>1091079.3489934646</v>
      </c>
      <c r="E44" s="49">
        <f t="shared" si="1"/>
        <v>4.5674865296777507E-2</v>
      </c>
    </row>
    <row r="45" spans="2:5" x14ac:dyDescent="0.35">
      <c r="B45" s="10">
        <v>34</v>
      </c>
      <c r="C45" s="16">
        <v>2059</v>
      </c>
      <c r="D45" s="48">
        <f t="shared" si="0"/>
        <v>1140914.251286837</v>
      </c>
      <c r="E45" s="49">
        <f t="shared" si="1"/>
        <v>4.5674865296777729E-2</v>
      </c>
    </row>
    <row r="46" spans="2:5" x14ac:dyDescent="0.35">
      <c r="B46" s="10">
        <v>35</v>
      </c>
      <c r="C46" s="16">
        <v>2060</v>
      </c>
      <c r="D46" s="48">
        <f t="shared" si="0"/>
        <v>1193025.356029537</v>
      </c>
      <c r="E46" s="49">
        <f t="shared" si="1"/>
        <v>4.5674865296777466E-2</v>
      </c>
    </row>
    <row r="47" spans="2:5" x14ac:dyDescent="0.35">
      <c r="B47" s="10">
        <v>36</v>
      </c>
      <c r="C47" s="16">
        <v>2061</v>
      </c>
      <c r="D47" s="48">
        <f t="shared" si="0"/>
        <v>1247516.6284618264</v>
      </c>
      <c r="E47" s="49">
        <f t="shared" si="1"/>
        <v>4.5674865296777667E-2</v>
      </c>
    </row>
    <row r="48" spans="2:5" x14ac:dyDescent="0.35">
      <c r="B48" s="10">
        <v>37</v>
      </c>
      <c r="C48" s="16">
        <v>2062</v>
      </c>
      <c r="D48" s="48">
        <f t="shared" si="0"/>
        <v>1304496.7824223104</v>
      </c>
      <c r="E48" s="49">
        <f t="shared" si="1"/>
        <v>4.5674865296777611E-2</v>
      </c>
    </row>
    <row r="49" spans="2:5" x14ac:dyDescent="0.35">
      <c r="B49" s="10">
        <v>38</v>
      </c>
      <c r="C49" s="16">
        <v>2063</v>
      </c>
      <c r="D49" s="48">
        <f t="shared" si="0"/>
        <v>1364079.4972395292</v>
      </c>
      <c r="E49" s="49">
        <f t="shared" si="1"/>
        <v>4.5674865296777514E-2</v>
      </c>
    </row>
    <row r="50" spans="2:5" x14ac:dyDescent="0.35">
      <c r="B50" s="10">
        <v>39</v>
      </c>
      <c r="C50" s="16">
        <v>2064</v>
      </c>
      <c r="D50" s="48">
        <f t="shared" si="0"/>
        <v>1426383.6445300407</v>
      </c>
      <c r="E50" s="49">
        <f t="shared" si="1"/>
        <v>4.5674865296777542E-2</v>
      </c>
    </row>
    <row r="51" spans="2:5" x14ac:dyDescent="0.35">
      <c r="B51" s="10">
        <v>40</v>
      </c>
      <c r="C51" s="16">
        <v>2065</v>
      </c>
      <c r="D51" s="48">
        <f t="shared" si="0"/>
        <v>1491533.5253554769</v>
      </c>
      <c r="E51" s="49">
        <f t="shared" si="1"/>
        <v>4.5674865296777528E-2</v>
      </c>
    </row>
  </sheetData>
  <mergeCells count="1">
    <mergeCell ref="C3:E3"/>
  </mergeCells>
  <phoneticPr fontId="7" type="noConversion"/>
  <hyperlinks>
    <hyperlink ref="H2" r:id="rId1" xr:uid="{D1D01A80-95D7-4034-B406-6B15798ED933}"/>
  </hyperlink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FEEC0-FCB5-4E77-9AAA-CFB4E0D3E706}">
  <sheetPr>
    <tabColor rgb="FF00B0F0"/>
  </sheetPr>
  <dimension ref="B1:O43"/>
  <sheetViews>
    <sheetView zoomScale="85" zoomScaleNormal="85" workbookViewId="0">
      <selection activeCell="Q36" sqref="Q36"/>
    </sheetView>
  </sheetViews>
  <sheetFormatPr defaultRowHeight="14.5" x14ac:dyDescent="0.35"/>
  <cols>
    <col min="1" max="1" width="3.1796875" style="1" customWidth="1"/>
    <col min="2" max="2" width="8.26953125" style="1" bestFit="1" customWidth="1"/>
    <col min="3" max="3" width="4.81640625" style="1" bestFit="1" customWidth="1"/>
    <col min="4" max="4" width="2.81640625" style="1" customWidth="1"/>
    <col min="5" max="5" width="12.08984375" style="1" bestFit="1" customWidth="1"/>
    <col min="6" max="6" width="2.81640625" style="1" customWidth="1"/>
    <col min="7" max="7" width="20.90625" style="1" customWidth="1"/>
    <col min="8" max="8" width="13.6328125" style="1" bestFit="1" customWidth="1"/>
    <col min="9" max="9" width="19.26953125" style="1" customWidth="1"/>
    <col min="10" max="10" width="3.26953125" style="1" customWidth="1"/>
    <col min="11" max="11" width="15.1796875" style="1" customWidth="1"/>
    <col min="12" max="12" width="11.7265625" style="1" bestFit="1" customWidth="1"/>
    <col min="13" max="13" width="13.81640625" style="1" customWidth="1"/>
    <col min="14" max="14" width="13.36328125" style="1" bestFit="1" customWidth="1"/>
    <col min="15" max="16384" width="8.7265625" style="1"/>
  </cols>
  <sheetData>
    <row r="1" spans="2:15" ht="7" customHeight="1" x14ac:dyDescent="0.35">
      <c r="B1" s="84"/>
      <c r="C1" s="113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2:15" x14ac:dyDescent="0.35">
      <c r="B2" s="84"/>
      <c r="C2" s="113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2:15" x14ac:dyDescent="0.35">
      <c r="B3" s="84"/>
      <c r="C3" s="113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2:15" ht="15" thickBot="1" x14ac:dyDescent="0.4">
      <c r="C4" s="14"/>
    </row>
    <row r="5" spans="2:15" x14ac:dyDescent="0.35">
      <c r="C5" s="14"/>
      <c r="E5" s="42"/>
      <c r="G5" s="257" t="s">
        <v>148</v>
      </c>
      <c r="H5" s="258"/>
      <c r="I5" s="259"/>
      <c r="K5" s="248" t="s">
        <v>150</v>
      </c>
      <c r="L5" s="249"/>
      <c r="M5" s="249"/>
      <c r="N5" s="250"/>
    </row>
    <row r="6" spans="2:15" x14ac:dyDescent="0.35">
      <c r="C6" s="14"/>
      <c r="E6" s="42"/>
      <c r="G6" s="260" t="s">
        <v>149</v>
      </c>
      <c r="H6" s="42"/>
      <c r="I6" s="261"/>
      <c r="K6" s="251" t="s">
        <v>282</v>
      </c>
      <c r="L6" s="42"/>
      <c r="M6" s="42"/>
      <c r="N6" s="252"/>
    </row>
    <row r="7" spans="2:15" x14ac:dyDescent="0.35">
      <c r="C7" s="14"/>
      <c r="E7" s="42"/>
      <c r="G7" s="260"/>
      <c r="H7" s="42"/>
      <c r="I7" s="261"/>
      <c r="K7" s="251" t="s">
        <v>283</v>
      </c>
      <c r="L7" s="42"/>
      <c r="M7" s="42"/>
      <c r="N7" s="252"/>
    </row>
    <row r="8" spans="2:15" x14ac:dyDescent="0.35">
      <c r="C8" s="14"/>
      <c r="E8" s="25"/>
      <c r="G8" s="262" t="s">
        <v>145</v>
      </c>
      <c r="H8" s="158">
        <v>0.10299999999999999</v>
      </c>
      <c r="I8" s="261" t="s">
        <v>146</v>
      </c>
      <c r="K8" s="251" t="s">
        <v>151</v>
      </c>
      <c r="L8" s="42"/>
      <c r="M8" s="157">
        <v>0.03</v>
      </c>
      <c r="N8" s="252"/>
    </row>
    <row r="9" spans="2:15" ht="15" thickBot="1" x14ac:dyDescent="0.4">
      <c r="C9" s="14"/>
      <c r="E9" s="25"/>
      <c r="G9" s="263"/>
      <c r="H9" s="264">
        <v>7.5999999999999998E-2</v>
      </c>
      <c r="I9" s="265" t="s">
        <v>147</v>
      </c>
      <c r="K9" s="253" t="s">
        <v>207</v>
      </c>
      <c r="L9" s="254"/>
      <c r="M9" s="255">
        <v>1300</v>
      </c>
      <c r="N9" s="256"/>
    </row>
    <row r="10" spans="2:15" x14ac:dyDescent="0.35">
      <c r="C10" s="14"/>
    </row>
    <row r="11" spans="2:15" ht="15" thickBot="1" x14ac:dyDescent="0.4">
      <c r="C11" s="14"/>
    </row>
    <row r="12" spans="2:15" ht="31.5" thickBot="1" x14ac:dyDescent="0.4">
      <c r="B12" s="138" t="s">
        <v>279</v>
      </c>
      <c r="C12" s="52" t="str">
        <f>'Flujos Anuales'!C8</f>
        <v>Año</v>
      </c>
      <c r="E12" s="276" t="str">
        <f>'Flujos Anuales'!G8</f>
        <v>Home Equity</v>
      </c>
      <c r="G12" s="268" t="s">
        <v>278</v>
      </c>
      <c r="H12" s="269" t="s">
        <v>280</v>
      </c>
      <c r="I12" s="270" t="s">
        <v>208</v>
      </c>
      <c r="K12" s="272" t="s">
        <v>210</v>
      </c>
      <c r="L12" s="273" t="s">
        <v>209</v>
      </c>
      <c r="M12" s="273" t="s">
        <v>281</v>
      </c>
      <c r="N12" s="274" t="s">
        <v>208</v>
      </c>
    </row>
    <row r="13" spans="2:15" x14ac:dyDescent="0.35">
      <c r="B13" s="10">
        <f>'Flujos Anuales'!B9</f>
        <v>0</v>
      </c>
      <c r="C13" s="10">
        <f>'Flujos Anuales'!C9</f>
        <v>2025</v>
      </c>
      <c r="E13" s="266">
        <f>'Flujos Anuales'!G9</f>
        <v>23859.58208144817</v>
      </c>
      <c r="G13" s="266">
        <f>'Flujos Anuales'!L9</f>
        <v>70411.103930489669</v>
      </c>
      <c r="H13" s="266">
        <f>G13</f>
        <v>70411.103930489669</v>
      </c>
      <c r="I13" s="267">
        <f>H43-E43</f>
        <v>2575603.8392439713</v>
      </c>
      <c r="K13" s="271">
        <f>($M$9*12)</f>
        <v>15600</v>
      </c>
      <c r="L13" s="267">
        <f>IF(G13-K13&lt;0,0,G13-K13)</f>
        <v>54811.103930489669</v>
      </c>
      <c r="M13" s="266">
        <f>L13</f>
        <v>54811.103930489669</v>
      </c>
      <c r="N13" s="267">
        <f>M43-E43</f>
        <v>180725.58287638333</v>
      </c>
    </row>
    <row r="14" spans="2:15" x14ac:dyDescent="0.35">
      <c r="B14" s="10">
        <f>'Flujos Anuales'!B10</f>
        <v>1</v>
      </c>
      <c r="C14" s="10">
        <f>'Flujos Anuales'!C10</f>
        <v>2026</v>
      </c>
      <c r="E14" s="28">
        <f>'Flujos Anuales'!G10</f>
        <v>37744.5202030488</v>
      </c>
      <c r="G14" s="28">
        <f>'Flujos Anuales'!L10</f>
        <v>28440.735617346301</v>
      </c>
      <c r="H14" s="28">
        <f>G14+(H13*((1+$H$9)^1))</f>
        <v>104203.0834465532</v>
      </c>
      <c r="I14" s="1" t="s">
        <v>211</v>
      </c>
      <c r="K14" s="87">
        <f>K13*(1+($M$8*1))</f>
        <v>16068</v>
      </c>
      <c r="L14" s="267">
        <f>IF(G14-K14&lt;0,0,G14-K14)</f>
        <v>12372.735617346301</v>
      </c>
      <c r="M14" s="28">
        <f>L14+(M13*(1+$H$9)^1)</f>
        <v>71349.483446553189</v>
      </c>
      <c r="N14" s="1" t="s">
        <v>211</v>
      </c>
    </row>
    <row r="15" spans="2:15" x14ac:dyDescent="0.35">
      <c r="B15" s="10">
        <f>'Flujos Anuales'!B11</f>
        <v>2</v>
      </c>
      <c r="C15" s="10">
        <f>'Flujos Anuales'!C11</f>
        <v>2027</v>
      </c>
      <c r="E15" s="28">
        <f>'Flujos Anuales'!G11</f>
        <v>52329.411592401564</v>
      </c>
      <c r="G15" s="28">
        <f>'Flujos Anuales'!L11</f>
        <v>26121.600731233953</v>
      </c>
      <c r="H15" s="28">
        <f t="shared" ref="H15:H43" si="0">G15+(H14*((1+$H$9)^1))</f>
        <v>138244.11851972519</v>
      </c>
      <c r="K15" s="87">
        <f>K14*(1+($M$8*1))</f>
        <v>16550.04</v>
      </c>
      <c r="L15" s="267">
        <f>IF(G15-K15&lt;0,0,G15-K15)</f>
        <v>9571.5607312339525</v>
      </c>
      <c r="M15" s="28">
        <f t="shared" ref="M15:M43" si="1">L15+(M14*(1+$H$9)^1)</f>
        <v>86343.6049197252</v>
      </c>
    </row>
    <row r="16" spans="2:15" x14ac:dyDescent="0.35">
      <c r="B16" s="10">
        <f>'Flujos Anuales'!B12</f>
        <v>3</v>
      </c>
      <c r="C16" s="10">
        <f>'Flujos Anuales'!C12</f>
        <v>2028</v>
      </c>
      <c r="E16" s="28">
        <f>'Flujos Anuales'!G12</f>
        <v>67650.980359049601</v>
      </c>
      <c r="G16" s="28">
        <f>'Flujos Anuales'!L12</f>
        <v>25785.534177131067</v>
      </c>
      <c r="H16" s="28">
        <f t="shared" si="0"/>
        <v>174536.20570435538</v>
      </c>
      <c r="K16" s="87">
        <f>K15*(1+($M$8*1))</f>
        <v>17046.5412</v>
      </c>
      <c r="L16" s="267">
        <f>IF(G16-K16&lt;0,0,G16-K16)</f>
        <v>8738.9929771310672</v>
      </c>
      <c r="M16" s="28">
        <f t="shared" si="1"/>
        <v>101644.71187075539</v>
      </c>
    </row>
    <row r="17" spans="2:13" x14ac:dyDescent="0.35">
      <c r="B17" s="10">
        <f>'Flujos Anuales'!B13</f>
        <v>4</v>
      </c>
      <c r="C17" s="10">
        <f>'Flujos Anuales'!C13</f>
        <v>2029</v>
      </c>
      <c r="E17" s="28">
        <f>'Flujos Anuales'!G13</f>
        <v>83747.97163664925</v>
      </c>
      <c r="G17" s="28">
        <f>'Flujos Anuales'!L13</f>
        <v>25949.755192359924</v>
      </c>
      <c r="H17" s="28">
        <f t="shared" si="0"/>
        <v>213750.7125302463</v>
      </c>
      <c r="K17" s="87">
        <f>K16*(1+($M$8*1))</f>
        <v>17557.937436</v>
      </c>
      <c r="L17" s="267">
        <f>IF(G17-K17&lt;0,0,G17-K17)</f>
        <v>8391.8177563599238</v>
      </c>
      <c r="M17" s="28">
        <f t="shared" si="1"/>
        <v>117761.52772929272</v>
      </c>
    </row>
    <row r="18" spans="2:13" x14ac:dyDescent="0.35">
      <c r="B18" s="10">
        <f>'Flujos Anuales'!B14</f>
        <v>5</v>
      </c>
      <c r="C18" s="10">
        <f>'Flujos Anuales'!C14</f>
        <v>2030</v>
      </c>
      <c r="E18" s="28">
        <f>'Flujos Anuales'!G14</f>
        <v>100661.26873584808</v>
      </c>
      <c r="G18" s="28">
        <f>'Flujos Anuales'!L14</f>
        <v>26120.182100776517</v>
      </c>
      <c r="H18" s="28">
        <f t="shared" si="0"/>
        <v>256115.94878332154</v>
      </c>
      <c r="K18" s="87">
        <f>K17*(1+($M$8*1))</f>
        <v>18084.675559080002</v>
      </c>
      <c r="L18" s="267">
        <f>IF(G18-K18&lt;0,0,G18-K18)</f>
        <v>8035.5065416965153</v>
      </c>
      <c r="M18" s="28">
        <f t="shared" si="1"/>
        <v>134746.91037841549</v>
      </c>
    </row>
    <row r="19" spans="2:13" x14ac:dyDescent="0.35">
      <c r="B19" s="10">
        <f>'Flujos Anuales'!B15</f>
        <v>6</v>
      </c>
      <c r="C19" s="10">
        <f>'Flujos Anuales'!C15</f>
        <v>2031</v>
      </c>
      <c r="E19" s="28">
        <f>'Flujos Anuales'!G15</f>
        <v>118434.01744399749</v>
      </c>
      <c r="G19" s="28">
        <f>'Flujos Anuales'!L15</f>
        <v>26297.08898233392</v>
      </c>
      <c r="H19" s="28">
        <f t="shared" si="0"/>
        <v>301877.84987318789</v>
      </c>
      <c r="K19" s="87">
        <f>K18*(1+($M$8*1))</f>
        <v>18627.215825852403</v>
      </c>
      <c r="L19" s="267">
        <f>IF(G19-K19&lt;0,0,G19-K19)</f>
        <v>7669.8731564815171</v>
      </c>
      <c r="M19" s="28">
        <f t="shared" si="1"/>
        <v>152657.5487236566</v>
      </c>
    </row>
    <row r="20" spans="2:13" x14ac:dyDescent="0.35">
      <c r="B20" s="10">
        <f>'Flujos Anuales'!B16</f>
        <v>7</v>
      </c>
      <c r="C20" s="10">
        <f>'Flujos Anuales'!C16</f>
        <v>2032</v>
      </c>
      <c r="E20" s="28">
        <f>'Flujos Anuales'!G16</f>
        <v>137111.75792795702</v>
      </c>
      <c r="G20" s="28">
        <f>'Flujos Anuales'!L16</f>
        <v>26480.762366372659</v>
      </c>
      <c r="H20" s="28">
        <f t="shared" si="0"/>
        <v>351301.32882992289</v>
      </c>
      <c r="K20" s="87">
        <f>K19*(1+($M$8*1))</f>
        <v>19186.032300627976</v>
      </c>
      <c r="L20" s="267">
        <f>IF(G20-K20&lt;0,0,G20-K20)</f>
        <v>7294.7300657446831</v>
      </c>
      <c r="M20" s="28">
        <f t="shared" si="1"/>
        <v>171554.25249239919</v>
      </c>
    </row>
    <row r="21" spans="2:13" x14ac:dyDescent="0.35">
      <c r="B21" s="10">
        <f>'Flujos Anuales'!B17</f>
        <v>8</v>
      </c>
      <c r="C21" s="10">
        <f>'Flujos Anuales'!C17</f>
        <v>2033</v>
      </c>
      <c r="E21" s="28">
        <f>'Flujos Anuales'!G17</f>
        <v>156742.56472647045</v>
      </c>
      <c r="G21" s="28">
        <f>'Flujos Anuales'!L17</f>
        <v>26671.501799721471</v>
      </c>
      <c r="H21" s="28">
        <f t="shared" si="0"/>
        <v>404671.73162071849</v>
      </c>
      <c r="K21" s="87">
        <f>K20*(1+($M$8*1))</f>
        <v>19761.613269646816</v>
      </c>
      <c r="L21" s="267">
        <f>IF(G21-K21&lt;0,0,G21-K21)</f>
        <v>6909.8885300746551</v>
      </c>
      <c r="M21" s="28">
        <f t="shared" si="1"/>
        <v>191502.2642118962</v>
      </c>
    </row>
    <row r="22" spans="2:13" x14ac:dyDescent="0.35">
      <c r="B22" s="10">
        <f>'Flujos Anuales'!B18</f>
        <v>9</v>
      </c>
      <c r="C22" s="10">
        <f>'Flujos Anuales'!C18</f>
        <v>2034</v>
      </c>
      <c r="E22" s="28">
        <f>'Flujos Anuales'!G18</f>
        <v>177377.19535087713</v>
      </c>
      <c r="G22" s="28">
        <f>'Flujos Anuales'!L18</f>
        <v>26869.620440742368</v>
      </c>
      <c r="H22" s="28">
        <f t="shared" si="0"/>
        <v>462296.40366463549</v>
      </c>
      <c r="K22" s="87">
        <f>K21*(1+($M$8*1))</f>
        <v>20354.461667736221</v>
      </c>
      <c r="L22" s="267">
        <f>IF(G22-K22&lt;0,0,G22-K22)</f>
        <v>6515.1587730061474</v>
      </c>
      <c r="M22" s="28">
        <f t="shared" si="1"/>
        <v>212571.59506500646</v>
      </c>
    </row>
    <row r="23" spans="2:13" x14ac:dyDescent="0.35">
      <c r="B23" s="10">
        <f>'Flujos Anuales'!B19</f>
        <v>10</v>
      </c>
      <c r="C23" s="10">
        <f>'Flujos Anuales'!C19</f>
        <v>2035</v>
      </c>
      <c r="E23" s="28">
        <f>'Flujos Anuales'!G19</f>
        <v>199069.24804740935</v>
      </c>
      <c r="G23" s="28">
        <f>'Flujos Anuales'!L19</f>
        <v>27075.445680504155</v>
      </c>
      <c r="H23" s="28">
        <f t="shared" si="0"/>
        <v>524506.37602365203</v>
      </c>
      <c r="K23" s="87">
        <f>K22*(1+($M$8*1))</f>
        <v>20965.09551776831</v>
      </c>
      <c r="L23" s="267">
        <f>IF(G23-K23&lt;0,0,G23-K23)</f>
        <v>6110.3501627358455</v>
      </c>
      <c r="M23" s="28">
        <f t="shared" si="1"/>
        <v>234837.38645268281</v>
      </c>
    </row>
    <row r="24" spans="2:13" x14ac:dyDescent="0.35">
      <c r="B24" s="10">
        <f>'Flujos Anuales'!B20</f>
        <v>11</v>
      </c>
      <c r="C24" s="10">
        <f>'Flujos Anuales'!C20</f>
        <v>2036</v>
      </c>
      <c r="E24" s="28">
        <f>'Flujos Anuales'!G20</f>
        <v>221875.32931116442</v>
      </c>
      <c r="G24" s="28">
        <f>'Flujos Anuales'!L20</f>
        <v>27289.319792323968</v>
      </c>
      <c r="H24" s="28">
        <f t="shared" si="0"/>
        <v>591658.1803937736</v>
      </c>
      <c r="K24" s="87">
        <f>K23*(1+($M$8*1))</f>
        <v>21594.04838330136</v>
      </c>
      <c r="L24" s="267">
        <f>IF(G24-K24&lt;0,0,G24-K24)</f>
        <v>5695.2714090226073</v>
      </c>
      <c r="M24" s="28">
        <f t="shared" si="1"/>
        <v>258380.29923210933</v>
      </c>
    </row>
    <row r="25" spans="2:13" x14ac:dyDescent="0.35">
      <c r="B25" s="10">
        <f>'Flujos Anuales'!B21</f>
        <v>12</v>
      </c>
      <c r="C25" s="10">
        <f>'Flujos Anuales'!C21</f>
        <v>2037</v>
      </c>
      <c r="E25" s="28">
        <f>'Flujos Anuales'!G21</f>
        <v>245855.23178120272</v>
      </c>
      <c r="G25" s="28">
        <f>'Flujos Anuales'!L21</f>
        <v>27511.600610972371</v>
      </c>
      <c r="H25" s="28">
        <f t="shared" si="0"/>
        <v>664135.80271467275</v>
      </c>
      <c r="K25" s="87">
        <f>K24*(1+($M$8*1))</f>
        <v>22241.869834800404</v>
      </c>
      <c r="L25" s="267">
        <f>IF(G25-K25&lt;0,0,G25-K25)</f>
        <v>5269.7307761719676</v>
      </c>
      <c r="M25" s="28">
        <f t="shared" si="1"/>
        <v>283286.93274992163</v>
      </c>
    </row>
    <row r="26" spans="2:13" x14ac:dyDescent="0.35">
      <c r="B26" s="10">
        <f>'Flujos Anuales'!B22</f>
        <v>13</v>
      </c>
      <c r="C26" s="10">
        <f>'Flujos Anuales'!C22</f>
        <v>2038</v>
      </c>
      <c r="E26" s="28">
        <f>'Flujos Anuales'!G22</f>
        <v>271072.1231882752</v>
      </c>
      <c r="G26" s="28">
        <f>'Flujos Anuales'!L22</f>
        <v>27742.662242896869</v>
      </c>
      <c r="H26" s="28">
        <f t="shared" si="0"/>
        <v>742352.78596388479</v>
      </c>
      <c r="K26" s="87">
        <f>K25*(1+($M$8*1))</f>
        <v>22909.125929844417</v>
      </c>
      <c r="L26" s="267">
        <f>IF(G26-K26&lt;0,0,G26-K26)</f>
        <v>4833.5363130524529</v>
      </c>
      <c r="M26" s="28">
        <f t="shared" si="1"/>
        <v>309650.27595196816</v>
      </c>
    </row>
    <row r="27" spans="2:13" x14ac:dyDescent="0.35">
      <c r="B27" s="10">
        <f>'Flujos Anuales'!B23</f>
        <v>14</v>
      </c>
      <c r="C27" s="10">
        <f>'Flujos Anuales'!C23</f>
        <v>2039</v>
      </c>
      <c r="E27" s="28">
        <f>'Flujos Anuales'!G23</f>
        <v>297592.74707162404</v>
      </c>
      <c r="G27" s="28">
        <f>'Flujos Anuales'!L23</f>
        <v>27982.895808880421</v>
      </c>
      <c r="H27" s="28">
        <f t="shared" si="0"/>
        <v>826754.49350602052</v>
      </c>
      <c r="K27" s="87">
        <f>K26*(1+($M$8*1))</f>
        <v>23596.399707739751</v>
      </c>
      <c r="L27" s="267">
        <f>IF(G27-K27&lt;0,0,G27-K27)</f>
        <v>4386.4961011406704</v>
      </c>
      <c r="M27" s="28">
        <f t="shared" si="1"/>
        <v>337570.19302545843</v>
      </c>
    </row>
    <row r="28" spans="2:13" x14ac:dyDescent="0.35">
      <c r="B28" s="10">
        <f>'Flujos Anuales'!B24</f>
        <v>15</v>
      </c>
      <c r="C28" s="10">
        <f>'Flujos Anuales'!C24</f>
        <v>2040</v>
      </c>
      <c r="E28" s="28">
        <f>'Flujos Anuales'!G24</f>
        <v>325487.63602931617</v>
      </c>
      <c r="G28" s="28">
        <f>'Flujos Anuales'!L24</f>
        <v>28232.710220616613</v>
      </c>
      <c r="H28" s="28">
        <f t="shared" si="0"/>
        <v>917820.54523309483</v>
      </c>
      <c r="K28" s="87">
        <f>K27*(1+($M$8*1))</f>
        <v>24304.291698971945</v>
      </c>
      <c r="L28" s="267">
        <f>IF(G28-K28&lt;0,0,G28-K28)</f>
        <v>3928.4185216446676</v>
      </c>
      <c r="M28" s="28">
        <f t="shared" si="1"/>
        <v>367153.94621703797</v>
      </c>
    </row>
    <row r="29" spans="2:13" x14ac:dyDescent="0.35">
      <c r="B29" s="10">
        <f>'Flujos Anuales'!B25</f>
        <v>16</v>
      </c>
      <c r="C29" s="10">
        <f>'Flujos Anuales'!C25</f>
        <v>2041</v>
      </c>
      <c r="E29" s="28">
        <f>'Flujos Anuales'!G25</f>
        <v>354831.33831789659</v>
      </c>
      <c r="G29" s="28">
        <f>'Flujos Anuales'!L25</f>
        <v>28492.532992750574</v>
      </c>
      <c r="H29" s="28">
        <f t="shared" si="0"/>
        <v>1016067.4396635606</v>
      </c>
      <c r="K29" s="87">
        <f>K28*(1+($M$8*1))</f>
        <v>25033.420449941103</v>
      </c>
      <c r="L29" s="267">
        <f>IF(G29-K29&lt;0,0,G29-K29)</f>
        <v>3459.1125428094711</v>
      </c>
      <c r="M29" s="28">
        <f t="shared" si="1"/>
        <v>398516.75867234234</v>
      </c>
    </row>
    <row r="30" spans="2:13" x14ac:dyDescent="0.35">
      <c r="B30" s="10">
        <f>'Flujos Anuales'!B26</f>
        <v>17</v>
      </c>
      <c r="C30" s="10">
        <f>'Flujos Anuales'!C26</f>
        <v>2042</v>
      </c>
      <c r="E30" s="28">
        <f>'Flujos Anuales'!G26</f>
        <v>385702.65867199091</v>
      </c>
      <c r="G30" s="28">
        <f>'Flujos Anuales'!L26</f>
        <v>28762.811092005122</v>
      </c>
      <c r="H30" s="28">
        <f t="shared" si="0"/>
        <v>1122051.3761699963</v>
      </c>
      <c r="K30" s="87">
        <f>K29*(1+($M$8*1))</f>
        <v>25784.423063439335</v>
      </c>
      <c r="L30" s="267">
        <f>IF(G30-K30&lt;0,0,G30-K30)</f>
        <v>2978.388028565787</v>
      </c>
      <c r="M30" s="28">
        <f t="shared" si="1"/>
        <v>431782.42036000616</v>
      </c>
    </row>
    <row r="31" spans="2:13" x14ac:dyDescent="0.35">
      <c r="B31" s="10">
        <f>'Flujos Anuales'!B27</f>
        <v>18</v>
      </c>
      <c r="C31" s="10">
        <f>'Flujos Anuales'!C27</f>
        <v>2043</v>
      </c>
      <c r="E31" s="28">
        <f>'Flujos Anuales'!G27</f>
        <v>418184.91427312</v>
      </c>
      <c r="G31" s="28">
        <f>'Flujos Anuales'!L27</f>
        <v>29044.011825086593</v>
      </c>
      <c r="H31" s="28">
        <f t="shared" si="0"/>
        <v>1236371.2925840027</v>
      </c>
      <c r="K31" s="87">
        <f>K30*(1+($M$8*1))</f>
        <v>26557.955755342515</v>
      </c>
      <c r="L31" s="267">
        <f>IF(G31-K31&lt;0,0,G31-K31)</f>
        <v>2486.0560697440778</v>
      </c>
      <c r="M31" s="28">
        <f t="shared" si="1"/>
        <v>467083.94037711073</v>
      </c>
    </row>
    <row r="32" spans="2:13" x14ac:dyDescent="0.35">
      <c r="B32" s="10">
        <f>'Flujos Anuales'!B28</f>
        <v>19</v>
      </c>
      <c r="C32" s="10">
        <f>'Flujos Anuales'!C28</f>
        <v>2044</v>
      </c>
      <c r="E32" s="28">
        <f>'Flujos Anuales'!G28</f>
        <v>452366.20685965288</v>
      </c>
      <c r="G32" s="28">
        <f>'Flujos Anuales'!L28</f>
        <v>29336.623767140976</v>
      </c>
      <c r="H32" s="28">
        <f t="shared" si="0"/>
        <v>1359672.134587528</v>
      </c>
      <c r="K32" s="87">
        <f>K31*(1+($M$8*1))</f>
        <v>27354.694428002789</v>
      </c>
      <c r="L32" s="267">
        <f>IF(G32-K32&lt;0,0,G32-K32)</f>
        <v>1981.9293391381871</v>
      </c>
      <c r="M32" s="28">
        <f t="shared" si="1"/>
        <v>504564.24918490939</v>
      </c>
    </row>
    <row r="33" spans="2:13" x14ac:dyDescent="0.35">
      <c r="B33" s="10">
        <f>'Flujos Anuales'!B29</f>
        <v>20</v>
      </c>
      <c r="C33" s="10">
        <f>'Flujos Anuales'!C29</f>
        <v>2045</v>
      </c>
      <c r="E33" s="28">
        <f>'Flujos Anuales'!G29</f>
        <v>488339.71203681978</v>
      </c>
      <c r="G33" s="28">
        <f>'Flujos Anuales'!L29</f>
        <v>29641.157732612828</v>
      </c>
      <c r="H33" s="28">
        <f t="shared" si="0"/>
        <v>1492648.3745487931</v>
      </c>
      <c r="K33" s="87">
        <f>K32*(1+($M$8*1))</f>
        <v>28175.335260842872</v>
      </c>
      <c r="L33" s="267">
        <f>IF(G33-K33&lt;0,0,G33-K33)</f>
        <v>1465.8224717699559</v>
      </c>
      <c r="M33" s="28">
        <f t="shared" si="1"/>
        <v>544376.9545947325</v>
      </c>
    </row>
    <row r="34" spans="2:13" x14ac:dyDescent="0.35">
      <c r="B34" s="10">
        <f>'Flujos Anuales'!B30</f>
        <v>21</v>
      </c>
      <c r="C34" s="10">
        <f>'Flujos Anuales'!C30</f>
        <v>2046</v>
      </c>
      <c r="E34" s="28">
        <f>'Flujos Anuales'!G30</f>
        <v>526203.98691732576</v>
      </c>
      <c r="G34" s="28">
        <f>'Flujos Anuales'!L30</f>
        <v>29958.147790443636</v>
      </c>
      <c r="H34" s="28">
        <f t="shared" si="0"/>
        <v>1636047.7988049451</v>
      </c>
      <c r="K34" s="87">
        <f>K33*(1+($M$8*1))</f>
        <v>29020.595318668158</v>
      </c>
      <c r="L34" s="267">
        <f>IF(G34-K34&lt;0,0,G34-K34)</f>
        <v>937.5524717754779</v>
      </c>
      <c r="M34" s="28">
        <f t="shared" si="1"/>
        <v>586687.15561570763</v>
      </c>
    </row>
    <row r="35" spans="2:13" x14ac:dyDescent="0.35">
      <c r="B35" s="10">
        <f>'Flujos Anuales'!B31</f>
        <v>22</v>
      </c>
      <c r="C35" s="10">
        <f>'Flujos Anuales'!C31</f>
        <v>2047</v>
      </c>
      <c r="E35" s="28">
        <f>'Flujos Anuales'!G31</f>
        <v>566063.29729967634</v>
      </c>
      <c r="G35" s="28">
        <f>'Flujos Anuales'!L31</f>
        <v>30288.152325634423</v>
      </c>
      <c r="H35" s="28">
        <f t="shared" si="0"/>
        <v>1790675.5838397555</v>
      </c>
      <c r="K35" s="87">
        <f>K34*(1+($M$8*1))</f>
        <v>29891.213178228205</v>
      </c>
      <c r="L35" s="267">
        <f>IF(G35-K35&lt;0,0,G35-K35)</f>
        <v>396.93914740621767</v>
      </c>
      <c r="M35" s="28">
        <f t="shared" si="1"/>
        <v>631672.31858990772</v>
      </c>
    </row>
    <row r="36" spans="2:13" x14ac:dyDescent="0.35">
      <c r="B36" s="10">
        <f>'Flujos Anuales'!B32</f>
        <v>23</v>
      </c>
      <c r="C36" s="10">
        <f>'Flujos Anuales'!C32</f>
        <v>2048</v>
      </c>
      <c r="E36" s="28">
        <f>'Flujos Anuales'!G32</f>
        <v>608027.96567320311</v>
      </c>
      <c r="G36" s="28">
        <f>'Flujos Anuales'!L32</f>
        <v>30631.755149290857</v>
      </c>
      <c r="H36" s="28">
        <f t="shared" si="0"/>
        <v>1957398.6833608679</v>
      </c>
      <c r="K36" s="87">
        <f>K35*(1+($M$8*1))</f>
        <v>30787.949573575053</v>
      </c>
      <c r="L36" s="267">
        <f>IF(G36-K36&lt;0,0,G36-K36)</f>
        <v>0</v>
      </c>
      <c r="M36" s="28">
        <f t="shared" si="1"/>
        <v>679679.41480274079</v>
      </c>
    </row>
    <row r="37" spans="2:13" x14ac:dyDescent="0.35">
      <c r="B37" s="10">
        <f>'Flujos Anuales'!B33</f>
        <v>24</v>
      </c>
      <c r="C37" s="10">
        <f>'Flujos Anuales'!C33</f>
        <v>2049</v>
      </c>
      <c r="E37" s="28">
        <f>'Flujos Anuales'!G33</f>
        <v>652214.74142631795</v>
      </c>
      <c r="G37" s="28">
        <f>'Flujos Anuales'!L33</f>
        <v>30989.566659364769</v>
      </c>
      <c r="H37" s="28">
        <f t="shared" si="0"/>
        <v>2137150.5499556586</v>
      </c>
      <c r="K37" s="87">
        <f>K36*(1+($M$8*1))</f>
        <v>31711.588060782306</v>
      </c>
      <c r="L37" s="267">
        <f>IF(G37-K37&lt;0,0,G37-K37)</f>
        <v>0</v>
      </c>
      <c r="M37" s="28">
        <f t="shared" si="1"/>
        <v>731335.05032774911</v>
      </c>
    </row>
    <row r="38" spans="2:13" x14ac:dyDescent="0.35">
      <c r="B38" s="10">
        <f>'Flujos Anuales'!B34</f>
        <v>25</v>
      </c>
      <c r="C38" s="10">
        <f>'Flujos Anuales'!C34</f>
        <v>2050</v>
      </c>
      <c r="E38" s="28">
        <f>'Flujos Anuales'!G34</f>
        <v>698747.19472814025</v>
      </c>
      <c r="G38" s="28">
        <f>'Flujos Anuales'!L34</f>
        <v>31362.225054407627</v>
      </c>
      <c r="H38" s="28">
        <f t="shared" si="0"/>
        <v>2330936.2168066963</v>
      </c>
      <c r="K38" s="87">
        <f>K37*(1+($M$8*1))</f>
        <v>32662.935702605777</v>
      </c>
      <c r="L38" s="267">
        <f>IF(G38-K38&lt;0,0,G38-K38)</f>
        <v>0</v>
      </c>
      <c r="M38" s="28">
        <f t="shared" si="1"/>
        <v>786916.51415265806</v>
      </c>
    </row>
    <row r="39" spans="2:13" x14ac:dyDescent="0.35">
      <c r="B39" s="10">
        <f>'Flujos Anuales'!B35</f>
        <v>26</v>
      </c>
      <c r="C39" s="10">
        <f>'Flujos Anuales'!C35</f>
        <v>2051</v>
      </c>
      <c r="E39" s="28">
        <f>'Flujos Anuales'!G35</f>
        <v>747756.13565376028</v>
      </c>
      <c r="G39" s="28">
        <f>'Flujos Anuales'!L35</f>
        <v>31750.397602757694</v>
      </c>
      <c r="H39" s="28">
        <f t="shared" si="0"/>
        <v>2539837.7668867633</v>
      </c>
      <c r="K39" s="87">
        <f>K38*(1+($M$8*1))</f>
        <v>33642.823773683951</v>
      </c>
      <c r="L39" s="267">
        <f>IF(G39-K39&lt;0,0,G39-K39)</f>
        <v>0</v>
      </c>
      <c r="M39" s="28">
        <f t="shared" si="1"/>
        <v>846722.16922826017</v>
      </c>
    </row>
    <row r="40" spans="2:13" x14ac:dyDescent="0.35">
      <c r="B40" s="10">
        <f>'Flujos Anuales'!B36</f>
        <v>27</v>
      </c>
      <c r="C40" s="10">
        <f>'Flujos Anuales'!C36</f>
        <v>2052</v>
      </c>
      <c r="E40" s="28">
        <f>'Flujos Anuales'!G36</f>
        <v>799380.06023046619</v>
      </c>
      <c r="G40" s="28">
        <f>'Flujos Anuales'!L36</f>
        <v>32154.781969692067</v>
      </c>
      <c r="H40" s="28">
        <f t="shared" si="0"/>
        <v>2765020.2191398498</v>
      </c>
      <c r="K40" s="87">
        <f>K39*(1+($M$8*1))</f>
        <v>34652.108486894467</v>
      </c>
      <c r="L40" s="267">
        <f>IF(G40-K40&lt;0,0,G40-K40)</f>
        <v>0</v>
      </c>
      <c r="M40" s="28">
        <f t="shared" si="1"/>
        <v>911073.05408960802</v>
      </c>
    </row>
    <row r="41" spans="2:13" x14ac:dyDescent="0.35">
      <c r="B41" s="10">
        <f>'Flujos Anuales'!B37</f>
        <v>28</v>
      </c>
      <c r="C41" s="10">
        <f>'Flujos Anuales'!C37</f>
        <v>2053</v>
      </c>
      <c r="E41" s="28">
        <f>'Flujos Anuales'!G37</f>
        <v>853765.62519678182</v>
      </c>
      <c r="G41" s="28">
        <f>'Flujos Anuales'!L37</f>
        <v>32576.107605191803</v>
      </c>
      <c r="H41" s="28">
        <f t="shared" si="0"/>
        <v>3007737.8633996705</v>
      </c>
      <c r="K41" s="87">
        <f>K40*(1+($M$8*1))</f>
        <v>35691.671741501304</v>
      </c>
      <c r="L41" s="267">
        <f>IF(G41-K41&lt;0,0,G41-K41)</f>
        <v>0</v>
      </c>
      <c r="M41" s="28">
        <f t="shared" si="1"/>
        <v>980314.60620041832</v>
      </c>
    </row>
    <row r="42" spans="2:13" x14ac:dyDescent="0.35">
      <c r="B42" s="10">
        <f>'Flujos Anuales'!B38</f>
        <v>29</v>
      </c>
      <c r="C42" s="10">
        <f>'Flujos Anuales'!C38</f>
        <v>2054</v>
      </c>
      <c r="E42" s="28">
        <f>'Flujos Anuales'!G38</f>
        <v>911068.1533886448</v>
      </c>
      <c r="G42" s="28">
        <f>'Flujos Anuales'!L38</f>
        <v>33015.137195087889</v>
      </c>
      <c r="H42" s="28">
        <f t="shared" si="0"/>
        <v>3269341.0782131334</v>
      </c>
      <c r="K42" s="87">
        <f>K41*(1+($M$8*1))</f>
        <v>36762.421893746345</v>
      </c>
      <c r="L42" s="267">
        <f>IF(G42-K42&lt;0,0,G42-K42)</f>
        <v>0</v>
      </c>
      <c r="M42" s="28">
        <f t="shared" si="1"/>
        <v>1054818.5162716501</v>
      </c>
    </row>
    <row r="43" spans="2:13" x14ac:dyDescent="0.35">
      <c r="B43" s="10">
        <f>'Flujos Anuales'!B39</f>
        <v>30</v>
      </c>
      <c r="C43" s="10">
        <f>'Flujos Anuales'!C39</f>
        <v>2055</v>
      </c>
      <c r="E43" s="28">
        <f>'Flujos Anuales'!G39</f>
        <v>954259.14063191228</v>
      </c>
      <c r="G43" s="28">
        <f>'Flujos Anuales'!L39</f>
        <v>12051.979718552169</v>
      </c>
      <c r="H43" s="28">
        <f t="shared" si="0"/>
        <v>3529862.9798758836</v>
      </c>
      <c r="K43" s="87">
        <f>K42*(1+($M$8*1))</f>
        <v>37865.294550558734</v>
      </c>
      <c r="L43" s="267">
        <f>IF(G43-K43&lt;0,0,G43-K43)</f>
        <v>0</v>
      </c>
      <c r="M43" s="28">
        <f t="shared" si="1"/>
        <v>1134984.7235082956</v>
      </c>
    </row>
  </sheetData>
  <conditionalFormatting sqref="I13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N13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E7E81-B26D-4397-A2CB-472F579DE03D}">
  <sheetPr>
    <tabColor rgb="FF92D050"/>
  </sheetPr>
  <dimension ref="B1:Z128"/>
  <sheetViews>
    <sheetView workbookViewId="0">
      <pane ySplit="1" topLeftCell="A124" activePane="bottomLeft" state="frozen"/>
      <selection pane="bottomLeft" activeCell="M134" sqref="M134"/>
    </sheetView>
  </sheetViews>
  <sheetFormatPr defaultRowHeight="14.5" x14ac:dyDescent="0.35"/>
  <cols>
    <col min="1" max="16384" width="8.7265625" style="93"/>
  </cols>
  <sheetData>
    <row r="1" spans="2:26" ht="26.5" thickBot="1" x14ac:dyDescent="0.65">
      <c r="B1" s="94" t="s">
        <v>94</v>
      </c>
      <c r="C1" s="94" t="s">
        <v>95</v>
      </c>
      <c r="D1" s="94" t="s">
        <v>96</v>
      </c>
      <c r="E1" s="94" t="s">
        <v>97</v>
      </c>
      <c r="F1" s="94" t="s">
        <v>98</v>
      </c>
      <c r="G1" s="94" t="s">
        <v>99</v>
      </c>
      <c r="H1" s="94" t="s">
        <v>100</v>
      </c>
      <c r="I1" s="94" t="s">
        <v>101</v>
      </c>
      <c r="J1" s="94" t="s">
        <v>102</v>
      </c>
      <c r="K1" s="94" t="s">
        <v>103</v>
      </c>
      <c r="L1" s="94" t="s">
        <v>104</v>
      </c>
      <c r="M1" s="94" t="s">
        <v>105</v>
      </c>
      <c r="N1" s="94" t="s">
        <v>106</v>
      </c>
      <c r="O1" s="94" t="s">
        <v>107</v>
      </c>
      <c r="P1" s="94" t="s">
        <v>108</v>
      </c>
      <c r="R1" s="99" t="s">
        <v>110</v>
      </c>
      <c r="S1" s="97"/>
      <c r="T1" s="97"/>
      <c r="U1" s="97"/>
      <c r="V1" s="98"/>
      <c r="W1" s="98"/>
      <c r="X1" s="98"/>
      <c r="Y1" s="100" t="s">
        <v>60</v>
      </c>
      <c r="Z1" s="61" t="s">
        <v>111</v>
      </c>
    </row>
    <row r="2" spans="2:26" ht="15" thickBot="1" x14ac:dyDescent="0.4">
      <c r="B2" s="95">
        <v>45659</v>
      </c>
      <c r="C2" s="96">
        <v>4.45</v>
      </c>
      <c r="D2" s="96" t="s">
        <v>109</v>
      </c>
      <c r="E2" s="96">
        <v>4.3600000000000003</v>
      </c>
      <c r="F2" s="96">
        <v>4.3600000000000003</v>
      </c>
      <c r="G2" s="96">
        <v>4.3099999999999996</v>
      </c>
      <c r="H2" s="96">
        <v>4.25</v>
      </c>
      <c r="I2" s="96">
        <v>4.17</v>
      </c>
      <c r="J2" s="96">
        <v>4.25</v>
      </c>
      <c r="K2" s="96">
        <v>4.29</v>
      </c>
      <c r="L2" s="96">
        <v>4.38</v>
      </c>
      <c r="M2" s="96">
        <v>4.47</v>
      </c>
      <c r="N2" s="96">
        <v>4.57</v>
      </c>
      <c r="O2" s="96">
        <v>4.8600000000000003</v>
      </c>
      <c r="P2" s="96">
        <v>4.79</v>
      </c>
    </row>
    <row r="3" spans="2:26" ht="15" thickBot="1" x14ac:dyDescent="0.4">
      <c r="B3" s="95">
        <v>45660</v>
      </c>
      <c r="C3" s="96">
        <v>4.4400000000000004</v>
      </c>
      <c r="D3" s="96" t="s">
        <v>109</v>
      </c>
      <c r="E3" s="96">
        <v>4.3499999999999996</v>
      </c>
      <c r="F3" s="96">
        <v>4.34</v>
      </c>
      <c r="G3" s="96">
        <v>4.3099999999999996</v>
      </c>
      <c r="H3" s="96">
        <v>4.25</v>
      </c>
      <c r="I3" s="96">
        <v>4.18</v>
      </c>
      <c r="J3" s="96">
        <v>4.28</v>
      </c>
      <c r="K3" s="96">
        <v>4.32</v>
      </c>
      <c r="L3" s="96">
        <v>4.41</v>
      </c>
      <c r="M3" s="96">
        <v>4.51</v>
      </c>
      <c r="N3" s="96">
        <v>4.5999999999999996</v>
      </c>
      <c r="O3" s="96">
        <v>4.88</v>
      </c>
      <c r="P3" s="96">
        <v>4.82</v>
      </c>
    </row>
    <row r="4" spans="2:26" ht="15" thickBot="1" x14ac:dyDescent="0.4">
      <c r="B4" s="95">
        <v>45663</v>
      </c>
      <c r="C4" s="96">
        <v>4.43</v>
      </c>
      <c r="D4" s="96" t="s">
        <v>109</v>
      </c>
      <c r="E4" s="96">
        <v>4.3600000000000003</v>
      </c>
      <c r="F4" s="96">
        <v>4.3499999999999996</v>
      </c>
      <c r="G4" s="96">
        <v>4.3099999999999996</v>
      </c>
      <c r="H4" s="96">
        <v>4.24</v>
      </c>
      <c r="I4" s="96">
        <v>4.17</v>
      </c>
      <c r="J4" s="96">
        <v>4.28</v>
      </c>
      <c r="K4" s="96">
        <v>4.3</v>
      </c>
      <c r="L4" s="96">
        <v>4.42</v>
      </c>
      <c r="M4" s="96">
        <v>4.5199999999999996</v>
      </c>
      <c r="N4" s="96">
        <v>4.62</v>
      </c>
      <c r="O4" s="96">
        <v>4.91</v>
      </c>
      <c r="P4" s="96">
        <v>4.8499999999999996</v>
      </c>
    </row>
    <row r="5" spans="2:26" ht="15" thickBot="1" x14ac:dyDescent="0.4">
      <c r="B5" s="95">
        <v>45664</v>
      </c>
      <c r="C5" s="96">
        <v>4.42</v>
      </c>
      <c r="D5" s="96" t="s">
        <v>109</v>
      </c>
      <c r="E5" s="96">
        <v>4.3499999999999996</v>
      </c>
      <c r="F5" s="96">
        <v>4.3499999999999996</v>
      </c>
      <c r="G5" s="96">
        <v>4.3099999999999996</v>
      </c>
      <c r="H5" s="96">
        <v>4.24</v>
      </c>
      <c r="I5" s="96">
        <v>4.1900000000000004</v>
      </c>
      <c r="J5" s="96">
        <v>4.3</v>
      </c>
      <c r="K5" s="96">
        <v>4.33</v>
      </c>
      <c r="L5" s="96">
        <v>4.46</v>
      </c>
      <c r="M5" s="96">
        <v>4.57</v>
      </c>
      <c r="N5" s="96">
        <v>4.67</v>
      </c>
      <c r="O5" s="96">
        <v>4.97</v>
      </c>
      <c r="P5" s="96">
        <v>4.91</v>
      </c>
    </row>
    <row r="6" spans="2:26" ht="15" thickBot="1" x14ac:dyDescent="0.4">
      <c r="B6" s="95">
        <v>45665</v>
      </c>
      <c r="C6" s="96">
        <v>4.41</v>
      </c>
      <c r="D6" s="96" t="s">
        <v>109</v>
      </c>
      <c r="E6" s="96">
        <v>4.34</v>
      </c>
      <c r="F6" s="96">
        <v>4.3499999999999996</v>
      </c>
      <c r="G6" s="96">
        <v>4.3099999999999996</v>
      </c>
      <c r="H6" s="96">
        <v>4.25</v>
      </c>
      <c r="I6" s="96">
        <v>4.1900000000000004</v>
      </c>
      <c r="J6" s="96">
        <v>4.28</v>
      </c>
      <c r="K6" s="96">
        <v>4.3099999999999996</v>
      </c>
      <c r="L6" s="96">
        <v>4.45</v>
      </c>
      <c r="M6" s="96">
        <v>4.5599999999999996</v>
      </c>
      <c r="N6" s="96">
        <v>4.67</v>
      </c>
      <c r="O6" s="96">
        <v>4.97</v>
      </c>
      <c r="P6" s="96">
        <v>4.91</v>
      </c>
    </row>
    <row r="7" spans="2:26" ht="15" thickBot="1" x14ac:dyDescent="0.4">
      <c r="B7" s="95">
        <v>45666</v>
      </c>
      <c r="C7" s="96">
        <v>4.4400000000000004</v>
      </c>
      <c r="D7" s="96" t="s">
        <v>109</v>
      </c>
      <c r="E7" s="96">
        <v>4.3600000000000003</v>
      </c>
      <c r="F7" s="96">
        <v>4.3499999999999996</v>
      </c>
      <c r="G7" s="96">
        <v>4.3099999999999996</v>
      </c>
      <c r="H7" s="96">
        <v>4.24</v>
      </c>
      <c r="I7" s="96">
        <v>4.16</v>
      </c>
      <c r="J7" s="96">
        <v>4.2699999999999996</v>
      </c>
      <c r="K7" s="96">
        <v>4.3099999999999996</v>
      </c>
      <c r="L7" s="96">
        <v>4.46</v>
      </c>
      <c r="M7" s="96">
        <v>4.57</v>
      </c>
      <c r="N7" s="96">
        <v>4.68</v>
      </c>
      <c r="O7" s="96">
        <v>4.9800000000000004</v>
      </c>
      <c r="P7" s="96">
        <v>4.92</v>
      </c>
    </row>
    <row r="8" spans="2:26" ht="15" thickBot="1" x14ac:dyDescent="0.4">
      <c r="B8" s="95">
        <v>45667</v>
      </c>
      <c r="C8" s="96">
        <v>4.42</v>
      </c>
      <c r="D8" s="96" t="s">
        <v>109</v>
      </c>
      <c r="E8" s="96">
        <v>4.3499999999999996</v>
      </c>
      <c r="F8" s="96">
        <v>4.3600000000000003</v>
      </c>
      <c r="G8" s="96">
        <v>4.33</v>
      </c>
      <c r="H8" s="96">
        <v>4.2699999999999996</v>
      </c>
      <c r="I8" s="96">
        <v>4.25</v>
      </c>
      <c r="J8" s="96">
        <v>4.4000000000000004</v>
      </c>
      <c r="K8" s="96">
        <v>4.46</v>
      </c>
      <c r="L8" s="96">
        <v>4.59</v>
      </c>
      <c r="M8" s="96">
        <v>4.7</v>
      </c>
      <c r="N8" s="96">
        <v>4.7699999999999996</v>
      </c>
      <c r="O8" s="96">
        <v>5.04</v>
      </c>
      <c r="P8" s="96">
        <v>4.96</v>
      </c>
    </row>
    <row r="9" spans="2:26" ht="15" thickBot="1" x14ac:dyDescent="0.4">
      <c r="B9" s="95">
        <v>45670</v>
      </c>
      <c r="C9" s="96">
        <v>4.42</v>
      </c>
      <c r="D9" s="96" t="s">
        <v>109</v>
      </c>
      <c r="E9" s="96">
        <v>4.3600000000000003</v>
      </c>
      <c r="F9" s="96">
        <v>4.37</v>
      </c>
      <c r="G9" s="96">
        <v>4.34</v>
      </c>
      <c r="H9" s="96">
        <v>4.3</v>
      </c>
      <c r="I9" s="96">
        <v>4.24</v>
      </c>
      <c r="J9" s="96">
        <v>4.4000000000000004</v>
      </c>
      <c r="K9" s="96">
        <v>4.49</v>
      </c>
      <c r="L9" s="96">
        <v>4.6100000000000003</v>
      </c>
      <c r="M9" s="96">
        <v>4.71</v>
      </c>
      <c r="N9" s="96">
        <v>4.79</v>
      </c>
      <c r="O9" s="96">
        <v>5.05</v>
      </c>
      <c r="P9" s="96">
        <v>4.97</v>
      </c>
    </row>
    <row r="10" spans="2:26" ht="15" thickBot="1" x14ac:dyDescent="0.4">
      <c r="B10" s="95">
        <v>45671</v>
      </c>
      <c r="C10" s="96">
        <v>4.42</v>
      </c>
      <c r="D10" s="96" t="s">
        <v>109</v>
      </c>
      <c r="E10" s="96">
        <v>4.3499999999999996</v>
      </c>
      <c r="F10" s="96">
        <v>4.3600000000000003</v>
      </c>
      <c r="G10" s="96">
        <v>4.33</v>
      </c>
      <c r="H10" s="96">
        <v>4.29</v>
      </c>
      <c r="I10" s="96">
        <v>4.22</v>
      </c>
      <c r="J10" s="96">
        <v>4.37</v>
      </c>
      <c r="K10" s="96">
        <v>4.46</v>
      </c>
      <c r="L10" s="96">
        <v>4.59</v>
      </c>
      <c r="M10" s="96">
        <v>4.7</v>
      </c>
      <c r="N10" s="96">
        <v>4.78</v>
      </c>
      <c r="O10" s="96">
        <v>5.0599999999999996</v>
      </c>
      <c r="P10" s="96">
        <v>4.9800000000000004</v>
      </c>
    </row>
    <row r="11" spans="2:26" ht="15" thickBot="1" x14ac:dyDescent="0.4">
      <c r="B11" s="95">
        <v>45672</v>
      </c>
      <c r="C11" s="96">
        <v>4.4000000000000004</v>
      </c>
      <c r="D11" s="96" t="s">
        <v>109</v>
      </c>
      <c r="E11" s="96">
        <v>4.34</v>
      </c>
      <c r="F11" s="96">
        <v>4.3499999999999996</v>
      </c>
      <c r="G11" s="96">
        <v>4.32</v>
      </c>
      <c r="H11" s="96">
        <v>4.26</v>
      </c>
      <c r="I11" s="96">
        <v>4.1900000000000004</v>
      </c>
      <c r="J11" s="96">
        <v>4.2699999999999996</v>
      </c>
      <c r="K11" s="96">
        <v>4.34</v>
      </c>
      <c r="L11" s="96">
        <v>4.45</v>
      </c>
      <c r="M11" s="96">
        <v>4.55</v>
      </c>
      <c r="N11" s="96">
        <v>4.66</v>
      </c>
      <c r="O11" s="96">
        <v>4.95</v>
      </c>
      <c r="P11" s="96">
        <v>4.88</v>
      </c>
    </row>
    <row r="12" spans="2:26" ht="15" thickBot="1" x14ac:dyDescent="0.4">
      <c r="B12" s="95">
        <v>45673</v>
      </c>
      <c r="C12" s="96">
        <v>4.43</v>
      </c>
      <c r="D12" s="96" t="s">
        <v>109</v>
      </c>
      <c r="E12" s="96">
        <v>4.3600000000000003</v>
      </c>
      <c r="F12" s="96">
        <v>4.34</v>
      </c>
      <c r="G12" s="96">
        <v>4.32</v>
      </c>
      <c r="H12" s="96">
        <v>4.26</v>
      </c>
      <c r="I12" s="96">
        <v>4.18</v>
      </c>
      <c r="J12" s="96">
        <v>4.2300000000000004</v>
      </c>
      <c r="K12" s="96">
        <v>4.29</v>
      </c>
      <c r="L12" s="96">
        <v>4.3899999999999997</v>
      </c>
      <c r="M12" s="96">
        <v>4.5</v>
      </c>
      <c r="N12" s="96">
        <v>4.6100000000000003</v>
      </c>
      <c r="O12" s="96">
        <v>4.91</v>
      </c>
      <c r="P12" s="96">
        <v>4.84</v>
      </c>
    </row>
    <row r="13" spans="2:26" ht="15" thickBot="1" x14ac:dyDescent="0.4">
      <c r="B13" s="95">
        <v>45674</v>
      </c>
      <c r="C13" s="96">
        <v>4.43</v>
      </c>
      <c r="D13" s="96" t="s">
        <v>109</v>
      </c>
      <c r="E13" s="96">
        <v>4.3499999999999996</v>
      </c>
      <c r="F13" s="96">
        <v>4.34</v>
      </c>
      <c r="G13" s="96">
        <v>4.32</v>
      </c>
      <c r="H13" s="96">
        <v>4.28</v>
      </c>
      <c r="I13" s="96">
        <v>4.21</v>
      </c>
      <c r="J13" s="96">
        <v>4.2699999999999996</v>
      </c>
      <c r="K13" s="96">
        <v>4.33</v>
      </c>
      <c r="L13" s="96">
        <v>4.42</v>
      </c>
      <c r="M13" s="96">
        <v>4.5199999999999996</v>
      </c>
      <c r="N13" s="96">
        <v>4.6100000000000003</v>
      </c>
      <c r="O13" s="96">
        <v>4.91</v>
      </c>
      <c r="P13" s="96">
        <v>4.84</v>
      </c>
    </row>
    <row r="14" spans="2:26" ht="15" thickBot="1" x14ac:dyDescent="0.4">
      <c r="B14" s="95">
        <v>45678</v>
      </c>
      <c r="C14" s="96">
        <v>4.42</v>
      </c>
      <c r="D14" s="96" t="s">
        <v>109</v>
      </c>
      <c r="E14" s="96">
        <v>4.3499999999999996</v>
      </c>
      <c r="F14" s="96">
        <v>4.3600000000000003</v>
      </c>
      <c r="G14" s="96">
        <v>4.33</v>
      </c>
      <c r="H14" s="96">
        <v>4.28</v>
      </c>
      <c r="I14" s="96">
        <v>4.21</v>
      </c>
      <c r="J14" s="96">
        <v>4.29</v>
      </c>
      <c r="K14" s="96">
        <v>4.33</v>
      </c>
      <c r="L14" s="96">
        <v>4.4000000000000004</v>
      </c>
      <c r="M14" s="96">
        <v>4.49</v>
      </c>
      <c r="N14" s="96">
        <v>4.57</v>
      </c>
      <c r="O14" s="96">
        <v>4.87</v>
      </c>
      <c r="P14" s="96">
        <v>4.8</v>
      </c>
    </row>
    <row r="15" spans="2:26" ht="15" thickBot="1" x14ac:dyDescent="0.4">
      <c r="B15" s="95">
        <v>45679</v>
      </c>
      <c r="C15" s="96">
        <v>4.42</v>
      </c>
      <c r="D15" s="96" t="s">
        <v>109</v>
      </c>
      <c r="E15" s="96">
        <v>4.3499999999999996</v>
      </c>
      <c r="F15" s="96">
        <v>4.3600000000000003</v>
      </c>
      <c r="G15" s="96">
        <v>4.32</v>
      </c>
      <c r="H15" s="96">
        <v>4.28</v>
      </c>
      <c r="I15" s="96">
        <v>4.2</v>
      </c>
      <c r="J15" s="96">
        <v>4.29</v>
      </c>
      <c r="K15" s="96">
        <v>4.34</v>
      </c>
      <c r="L15" s="96">
        <v>4.43</v>
      </c>
      <c r="M15" s="96">
        <v>4.51</v>
      </c>
      <c r="N15" s="96">
        <v>4.5999999999999996</v>
      </c>
      <c r="O15" s="96">
        <v>4.8899999999999997</v>
      </c>
      <c r="P15" s="96">
        <v>4.82</v>
      </c>
    </row>
    <row r="16" spans="2:26" ht="15" thickBot="1" x14ac:dyDescent="0.4">
      <c r="B16" s="95">
        <v>45680</v>
      </c>
      <c r="C16" s="96">
        <v>4.45</v>
      </c>
      <c r="D16" s="96" t="s">
        <v>109</v>
      </c>
      <c r="E16" s="96">
        <v>4.3600000000000003</v>
      </c>
      <c r="F16" s="96">
        <v>4.3600000000000003</v>
      </c>
      <c r="G16" s="96">
        <v>4.32</v>
      </c>
      <c r="H16" s="96">
        <v>4.2699999999999996</v>
      </c>
      <c r="I16" s="96">
        <v>4.18</v>
      </c>
      <c r="J16" s="96">
        <v>4.29</v>
      </c>
      <c r="K16" s="96">
        <v>4.3499999999999996</v>
      </c>
      <c r="L16" s="96">
        <v>4.45</v>
      </c>
      <c r="M16" s="96">
        <v>4.55</v>
      </c>
      <c r="N16" s="96">
        <v>4.6500000000000004</v>
      </c>
      <c r="O16" s="96">
        <v>4.92</v>
      </c>
      <c r="P16" s="96">
        <v>4.87</v>
      </c>
    </row>
    <row r="17" spans="2:16" ht="15" thickBot="1" x14ac:dyDescent="0.4">
      <c r="B17" s="95">
        <v>45681</v>
      </c>
      <c r="C17" s="96">
        <v>4.45</v>
      </c>
      <c r="D17" s="96" t="s">
        <v>109</v>
      </c>
      <c r="E17" s="96">
        <v>4.3600000000000003</v>
      </c>
      <c r="F17" s="96">
        <v>4.3499999999999996</v>
      </c>
      <c r="G17" s="96">
        <v>4.32</v>
      </c>
      <c r="H17" s="96">
        <v>4.25</v>
      </c>
      <c r="I17" s="96">
        <v>4.17</v>
      </c>
      <c r="J17" s="96">
        <v>4.2699999999999996</v>
      </c>
      <c r="K17" s="96">
        <v>4.33</v>
      </c>
      <c r="L17" s="96">
        <v>4.43</v>
      </c>
      <c r="M17" s="96">
        <v>4.53</v>
      </c>
      <c r="N17" s="96">
        <v>4.63</v>
      </c>
      <c r="O17" s="96">
        <v>4.91</v>
      </c>
      <c r="P17" s="96">
        <v>4.8499999999999996</v>
      </c>
    </row>
    <row r="18" spans="2:16" ht="15" thickBot="1" x14ac:dyDescent="0.4">
      <c r="B18" s="95">
        <v>45684</v>
      </c>
      <c r="C18" s="96">
        <v>4.4400000000000004</v>
      </c>
      <c r="D18" s="96" t="s">
        <v>109</v>
      </c>
      <c r="E18" s="96">
        <v>4.3600000000000003</v>
      </c>
      <c r="F18" s="96">
        <v>4.32</v>
      </c>
      <c r="G18" s="96">
        <v>4.3</v>
      </c>
      <c r="H18" s="96">
        <v>4.25</v>
      </c>
      <c r="I18" s="96">
        <v>4.13</v>
      </c>
      <c r="J18" s="96">
        <v>4.17</v>
      </c>
      <c r="K18" s="96">
        <v>4.24</v>
      </c>
      <c r="L18" s="96">
        <v>4.32</v>
      </c>
      <c r="M18" s="96">
        <v>4.43</v>
      </c>
      <c r="N18" s="96">
        <v>4.53</v>
      </c>
      <c r="O18" s="96">
        <v>4.82</v>
      </c>
      <c r="P18" s="96">
        <v>4.76</v>
      </c>
    </row>
    <row r="19" spans="2:16" ht="15" thickBot="1" x14ac:dyDescent="0.4">
      <c r="B19" s="95">
        <v>45685</v>
      </c>
      <c r="C19" s="96">
        <v>4.4400000000000004</v>
      </c>
      <c r="D19" s="96" t="s">
        <v>109</v>
      </c>
      <c r="E19" s="96">
        <v>4.3499999999999996</v>
      </c>
      <c r="F19" s="96">
        <v>4.3099999999999996</v>
      </c>
      <c r="G19" s="96">
        <v>4.3</v>
      </c>
      <c r="H19" s="96">
        <v>4.26</v>
      </c>
      <c r="I19" s="96">
        <v>4.1399999999999997</v>
      </c>
      <c r="J19" s="96">
        <v>4.1900000000000004</v>
      </c>
      <c r="K19" s="96">
        <v>4.25</v>
      </c>
      <c r="L19" s="96">
        <v>4.33</v>
      </c>
      <c r="M19" s="96">
        <v>4.43</v>
      </c>
      <c r="N19" s="96">
        <v>4.55</v>
      </c>
      <c r="O19" s="96">
        <v>4.84</v>
      </c>
      <c r="P19" s="96">
        <v>4.78</v>
      </c>
    </row>
    <row r="20" spans="2:16" ht="15" thickBot="1" x14ac:dyDescent="0.4">
      <c r="B20" s="95">
        <v>45686</v>
      </c>
      <c r="C20" s="96">
        <v>4.43</v>
      </c>
      <c r="D20" s="96" t="s">
        <v>109</v>
      </c>
      <c r="E20" s="96">
        <v>4.34</v>
      </c>
      <c r="F20" s="96">
        <v>4.3099999999999996</v>
      </c>
      <c r="G20" s="96">
        <v>4.34</v>
      </c>
      <c r="H20" s="96">
        <v>4.2699999999999996</v>
      </c>
      <c r="I20" s="96">
        <v>4.17</v>
      </c>
      <c r="J20" s="96">
        <v>4.21</v>
      </c>
      <c r="K20" s="96">
        <v>4.2699999999999996</v>
      </c>
      <c r="L20" s="96">
        <v>4.3499999999999996</v>
      </c>
      <c r="M20" s="96">
        <v>4.4400000000000004</v>
      </c>
      <c r="N20" s="96">
        <v>4.55</v>
      </c>
      <c r="O20" s="96">
        <v>4.8499999999999996</v>
      </c>
      <c r="P20" s="96">
        <v>4.79</v>
      </c>
    </row>
    <row r="21" spans="2:16" ht="15" thickBot="1" x14ac:dyDescent="0.4">
      <c r="B21" s="95">
        <v>45687</v>
      </c>
      <c r="C21" s="96">
        <v>4.37</v>
      </c>
      <c r="D21" s="96" t="s">
        <v>109</v>
      </c>
      <c r="E21" s="96">
        <v>4.38</v>
      </c>
      <c r="F21" s="96">
        <v>4.3</v>
      </c>
      <c r="G21" s="96">
        <v>4.33</v>
      </c>
      <c r="H21" s="96">
        <v>4.2699999999999996</v>
      </c>
      <c r="I21" s="96">
        <v>4.16</v>
      </c>
      <c r="J21" s="96">
        <v>4.18</v>
      </c>
      <c r="K21" s="96">
        <v>4.24</v>
      </c>
      <c r="L21" s="96">
        <v>4.3099999999999996</v>
      </c>
      <c r="M21" s="96">
        <v>4.41</v>
      </c>
      <c r="N21" s="96">
        <v>4.5199999999999996</v>
      </c>
      <c r="O21" s="96">
        <v>4.8099999999999996</v>
      </c>
      <c r="P21" s="96">
        <v>4.76</v>
      </c>
    </row>
    <row r="22" spans="2:16" ht="15" thickBot="1" x14ac:dyDescent="0.4">
      <c r="B22" s="95">
        <v>45688</v>
      </c>
      <c r="C22" s="96">
        <v>4.37</v>
      </c>
      <c r="D22" s="96" t="s">
        <v>109</v>
      </c>
      <c r="E22" s="96">
        <v>4.37</v>
      </c>
      <c r="F22" s="96">
        <v>4.3099999999999996</v>
      </c>
      <c r="G22" s="96">
        <v>4.33</v>
      </c>
      <c r="H22" s="96">
        <v>4.28</v>
      </c>
      <c r="I22" s="96">
        <v>4.17</v>
      </c>
      <c r="J22" s="96">
        <v>4.22</v>
      </c>
      <c r="K22" s="96">
        <v>4.2699999999999996</v>
      </c>
      <c r="L22" s="96">
        <v>4.3600000000000003</v>
      </c>
      <c r="M22" s="96">
        <v>4.47</v>
      </c>
      <c r="N22" s="96">
        <v>4.58</v>
      </c>
      <c r="O22" s="96">
        <v>4.88</v>
      </c>
      <c r="P22" s="96">
        <v>4.83</v>
      </c>
    </row>
    <row r="23" spans="2:16" ht="15" thickBot="1" x14ac:dyDescent="0.4">
      <c r="B23" s="95">
        <v>45691</v>
      </c>
      <c r="C23" s="96">
        <v>4.37</v>
      </c>
      <c r="D23" s="96" t="s">
        <v>109</v>
      </c>
      <c r="E23" s="96">
        <v>4.38</v>
      </c>
      <c r="F23" s="96">
        <v>4.34</v>
      </c>
      <c r="G23" s="96">
        <v>4.3499999999999996</v>
      </c>
      <c r="H23" s="96">
        <v>4.28</v>
      </c>
      <c r="I23" s="96">
        <v>4.2</v>
      </c>
      <c r="J23" s="96">
        <v>4.26</v>
      </c>
      <c r="K23" s="96">
        <v>4.28</v>
      </c>
      <c r="L23" s="96">
        <v>4.3499999999999996</v>
      </c>
      <c r="M23" s="96">
        <v>4.45</v>
      </c>
      <c r="N23" s="96">
        <v>4.54</v>
      </c>
      <c r="O23" s="96">
        <v>4.82</v>
      </c>
      <c r="P23" s="96">
        <v>4.7699999999999996</v>
      </c>
    </row>
    <row r="24" spans="2:16" ht="15" thickBot="1" x14ac:dyDescent="0.4">
      <c r="B24" s="95">
        <v>45692</v>
      </c>
      <c r="C24" s="96">
        <v>4.3600000000000003</v>
      </c>
      <c r="D24" s="96" t="s">
        <v>109</v>
      </c>
      <c r="E24" s="96">
        <v>4.38</v>
      </c>
      <c r="F24" s="96">
        <v>4.33</v>
      </c>
      <c r="G24" s="96">
        <v>4.3499999999999996</v>
      </c>
      <c r="H24" s="96">
        <v>4.2699999999999996</v>
      </c>
      <c r="I24" s="96">
        <v>4.18</v>
      </c>
      <c r="J24" s="96">
        <v>4.21</v>
      </c>
      <c r="K24" s="96">
        <v>4.25</v>
      </c>
      <c r="L24" s="96">
        <v>4.3099999999999996</v>
      </c>
      <c r="M24" s="96">
        <v>4.42</v>
      </c>
      <c r="N24" s="96">
        <v>4.5199999999999996</v>
      </c>
      <c r="O24" s="96">
        <v>4.8099999999999996</v>
      </c>
      <c r="P24" s="96">
        <v>4.75</v>
      </c>
    </row>
    <row r="25" spans="2:16" ht="15" thickBot="1" x14ac:dyDescent="0.4">
      <c r="B25" s="95">
        <v>45693</v>
      </c>
      <c r="C25" s="96">
        <v>4.3499999999999996</v>
      </c>
      <c r="D25" s="96" t="s">
        <v>109</v>
      </c>
      <c r="E25" s="96">
        <v>4.37</v>
      </c>
      <c r="F25" s="96">
        <v>4.33</v>
      </c>
      <c r="G25" s="96">
        <v>4.3499999999999996</v>
      </c>
      <c r="H25" s="96">
        <v>4.2699999999999996</v>
      </c>
      <c r="I25" s="96">
        <v>4.17</v>
      </c>
      <c r="J25" s="96">
        <v>4.17</v>
      </c>
      <c r="K25" s="96">
        <v>4.1900000000000004</v>
      </c>
      <c r="L25" s="96">
        <v>4.24</v>
      </c>
      <c r="M25" s="96">
        <v>4.33</v>
      </c>
      <c r="N25" s="96">
        <v>4.43</v>
      </c>
      <c r="O25" s="96">
        <v>4.6900000000000004</v>
      </c>
      <c r="P25" s="96">
        <v>4.6399999999999997</v>
      </c>
    </row>
    <row r="26" spans="2:16" ht="15" thickBot="1" x14ac:dyDescent="0.4">
      <c r="B26" s="95">
        <v>45694</v>
      </c>
      <c r="C26" s="96">
        <v>4.37</v>
      </c>
      <c r="D26" s="96" t="s">
        <v>109</v>
      </c>
      <c r="E26" s="96">
        <v>4.38</v>
      </c>
      <c r="F26" s="96">
        <v>4.34</v>
      </c>
      <c r="G26" s="96">
        <v>4.3600000000000003</v>
      </c>
      <c r="H26" s="96">
        <v>4.28</v>
      </c>
      <c r="I26" s="96">
        <v>4.1900000000000004</v>
      </c>
      <c r="J26" s="96">
        <v>4.21</v>
      </c>
      <c r="K26" s="96">
        <v>4.2300000000000004</v>
      </c>
      <c r="L26" s="96">
        <v>4.28</v>
      </c>
      <c r="M26" s="96">
        <v>4.3600000000000003</v>
      </c>
      <c r="N26" s="96">
        <v>4.45</v>
      </c>
      <c r="O26" s="96">
        <v>4.7</v>
      </c>
      <c r="P26" s="96">
        <v>4.6500000000000004</v>
      </c>
    </row>
    <row r="27" spans="2:16" ht="15" thickBot="1" x14ac:dyDescent="0.4">
      <c r="B27" s="95">
        <v>45695</v>
      </c>
      <c r="C27" s="96">
        <v>4.37</v>
      </c>
      <c r="D27" s="96" t="s">
        <v>109</v>
      </c>
      <c r="E27" s="96">
        <v>4.38</v>
      </c>
      <c r="F27" s="96">
        <v>4.3499999999999996</v>
      </c>
      <c r="G27" s="96">
        <v>4.37</v>
      </c>
      <c r="H27" s="96">
        <v>4.3</v>
      </c>
      <c r="I27" s="96">
        <v>4.25</v>
      </c>
      <c r="J27" s="96">
        <v>4.29</v>
      </c>
      <c r="K27" s="96">
        <v>4.3099999999999996</v>
      </c>
      <c r="L27" s="96">
        <v>4.34</v>
      </c>
      <c r="M27" s="96">
        <v>4.42</v>
      </c>
      <c r="N27" s="96">
        <v>4.49</v>
      </c>
      <c r="O27" s="96">
        <v>4.75</v>
      </c>
      <c r="P27" s="96">
        <v>4.6900000000000004</v>
      </c>
    </row>
    <row r="28" spans="2:16" ht="15" thickBot="1" x14ac:dyDescent="0.4">
      <c r="B28" s="95">
        <v>45698</v>
      </c>
      <c r="C28" s="96">
        <v>4.38</v>
      </c>
      <c r="D28" s="96" t="s">
        <v>109</v>
      </c>
      <c r="E28" s="96">
        <v>4.4000000000000004</v>
      </c>
      <c r="F28" s="96">
        <v>4.3499999999999996</v>
      </c>
      <c r="G28" s="96">
        <v>4.37</v>
      </c>
      <c r="H28" s="96">
        <v>4.3099999999999996</v>
      </c>
      <c r="I28" s="96">
        <v>4.24</v>
      </c>
      <c r="J28" s="96">
        <v>4.28</v>
      </c>
      <c r="K28" s="96">
        <v>4.3</v>
      </c>
      <c r="L28" s="96">
        <v>4.34</v>
      </c>
      <c r="M28" s="96">
        <v>4.42</v>
      </c>
      <c r="N28" s="96">
        <v>4.51</v>
      </c>
      <c r="O28" s="96">
        <v>4.76</v>
      </c>
      <c r="P28" s="96">
        <v>4.71</v>
      </c>
    </row>
    <row r="29" spans="2:16" ht="15" thickBot="1" x14ac:dyDescent="0.4">
      <c r="B29" s="95">
        <v>45699</v>
      </c>
      <c r="C29" s="96">
        <v>4.38</v>
      </c>
      <c r="D29" s="96" t="s">
        <v>109</v>
      </c>
      <c r="E29" s="96">
        <v>4.4000000000000004</v>
      </c>
      <c r="F29" s="96">
        <v>4.3499999999999996</v>
      </c>
      <c r="G29" s="96">
        <v>4.37</v>
      </c>
      <c r="H29" s="96">
        <v>4.3099999999999996</v>
      </c>
      <c r="I29" s="96">
        <v>4.25</v>
      </c>
      <c r="J29" s="96">
        <v>4.29</v>
      </c>
      <c r="K29" s="96">
        <v>4.28</v>
      </c>
      <c r="L29" s="96">
        <v>4.37</v>
      </c>
      <c r="M29" s="96">
        <v>4.45</v>
      </c>
      <c r="N29" s="96">
        <v>4.54</v>
      </c>
      <c r="O29" s="96">
        <v>4.8</v>
      </c>
      <c r="P29" s="96">
        <v>4.75</v>
      </c>
    </row>
    <row r="30" spans="2:16" ht="15" thickBot="1" x14ac:dyDescent="0.4">
      <c r="B30" s="95">
        <v>45700</v>
      </c>
      <c r="C30" s="96">
        <v>4.38</v>
      </c>
      <c r="D30" s="96" t="s">
        <v>109</v>
      </c>
      <c r="E30" s="96">
        <v>4.3899999999999997</v>
      </c>
      <c r="F30" s="96">
        <v>4.3499999999999996</v>
      </c>
      <c r="G30" s="96">
        <v>4.3600000000000003</v>
      </c>
      <c r="H30" s="96">
        <v>4.33</v>
      </c>
      <c r="I30" s="96">
        <v>4.3</v>
      </c>
      <c r="J30" s="96">
        <v>4.3600000000000003</v>
      </c>
      <c r="K30" s="96">
        <v>4.37</v>
      </c>
      <c r="L30" s="96">
        <v>4.4800000000000004</v>
      </c>
      <c r="M30" s="96">
        <v>4.5599999999999996</v>
      </c>
      <c r="N30" s="96">
        <v>4.62</v>
      </c>
      <c r="O30" s="96">
        <v>4.9000000000000004</v>
      </c>
      <c r="P30" s="96">
        <v>4.83</v>
      </c>
    </row>
    <row r="31" spans="2:16" ht="15" thickBot="1" x14ac:dyDescent="0.4">
      <c r="B31" s="95">
        <v>45701</v>
      </c>
      <c r="C31" s="96">
        <v>4.37</v>
      </c>
      <c r="D31" s="96" t="s">
        <v>109</v>
      </c>
      <c r="E31" s="96">
        <v>4.3899999999999997</v>
      </c>
      <c r="F31" s="96">
        <v>4.34</v>
      </c>
      <c r="G31" s="96">
        <v>4.3499999999999996</v>
      </c>
      <c r="H31" s="96">
        <v>4.33</v>
      </c>
      <c r="I31" s="96">
        <v>4.2699999999999996</v>
      </c>
      <c r="J31" s="96">
        <v>4.3099999999999996</v>
      </c>
      <c r="K31" s="96">
        <v>4.3099999999999996</v>
      </c>
      <c r="L31" s="96">
        <v>4.3899999999999997</v>
      </c>
      <c r="M31" s="96">
        <v>4.46</v>
      </c>
      <c r="N31" s="96">
        <v>4.5199999999999996</v>
      </c>
      <c r="O31" s="96">
        <v>4.79</v>
      </c>
      <c r="P31" s="96">
        <v>4.72</v>
      </c>
    </row>
    <row r="32" spans="2:16" ht="15" thickBot="1" x14ac:dyDescent="0.4">
      <c r="B32" s="95">
        <v>45702</v>
      </c>
      <c r="C32" s="96">
        <v>4.37</v>
      </c>
      <c r="D32" s="96" t="s">
        <v>109</v>
      </c>
      <c r="E32" s="96">
        <v>4.38</v>
      </c>
      <c r="F32" s="96">
        <v>4.34</v>
      </c>
      <c r="G32" s="96">
        <v>4.3499999999999996</v>
      </c>
      <c r="H32" s="96">
        <v>4.32</v>
      </c>
      <c r="I32" s="96">
        <v>4.2300000000000004</v>
      </c>
      <c r="J32" s="96">
        <v>4.26</v>
      </c>
      <c r="K32" s="96">
        <v>4.26</v>
      </c>
      <c r="L32" s="96">
        <v>4.33</v>
      </c>
      <c r="M32" s="96">
        <v>4.41</v>
      </c>
      <c r="N32" s="96">
        <v>4.47</v>
      </c>
      <c r="O32" s="96">
        <v>4.75</v>
      </c>
      <c r="P32" s="96">
        <v>4.6900000000000004</v>
      </c>
    </row>
    <row r="33" spans="2:16" ht="15" thickBot="1" x14ac:dyDescent="0.4">
      <c r="B33" s="95">
        <v>45706</v>
      </c>
      <c r="C33" s="96">
        <v>4.38</v>
      </c>
      <c r="D33" s="96">
        <v>4.41</v>
      </c>
      <c r="E33" s="96">
        <v>4.38</v>
      </c>
      <c r="F33" s="96">
        <v>4.34</v>
      </c>
      <c r="G33" s="96">
        <v>4.37</v>
      </c>
      <c r="H33" s="96">
        <v>4.34</v>
      </c>
      <c r="I33" s="96">
        <v>4.24</v>
      </c>
      <c r="J33" s="96">
        <v>4.29</v>
      </c>
      <c r="K33" s="96">
        <v>4.33</v>
      </c>
      <c r="L33" s="96">
        <v>4.4000000000000004</v>
      </c>
      <c r="M33" s="96">
        <v>4.4800000000000004</v>
      </c>
      <c r="N33" s="96">
        <v>4.55</v>
      </c>
      <c r="O33" s="96">
        <v>4.83</v>
      </c>
      <c r="P33" s="96">
        <v>4.7699999999999996</v>
      </c>
    </row>
    <row r="34" spans="2:16" ht="15" thickBot="1" x14ac:dyDescent="0.4">
      <c r="B34" s="95">
        <v>45707</v>
      </c>
      <c r="C34" s="96">
        <v>4.38</v>
      </c>
      <c r="D34" s="96">
        <v>4.42</v>
      </c>
      <c r="E34" s="96">
        <v>4.38</v>
      </c>
      <c r="F34" s="96">
        <v>4.34</v>
      </c>
      <c r="G34" s="96">
        <v>4.3499999999999996</v>
      </c>
      <c r="H34" s="96">
        <v>4.34</v>
      </c>
      <c r="I34" s="96">
        <v>4.22</v>
      </c>
      <c r="J34" s="96">
        <v>4.28</v>
      </c>
      <c r="K34" s="96">
        <v>4.3</v>
      </c>
      <c r="L34" s="96">
        <v>4.37</v>
      </c>
      <c r="M34" s="96">
        <v>4.46</v>
      </c>
      <c r="N34" s="96">
        <v>4.53</v>
      </c>
      <c r="O34" s="96">
        <v>4.79</v>
      </c>
      <c r="P34" s="96">
        <v>4.76</v>
      </c>
    </row>
    <row r="35" spans="2:16" ht="15" thickBot="1" x14ac:dyDescent="0.4">
      <c r="B35" s="95">
        <v>45708</v>
      </c>
      <c r="C35" s="96">
        <v>4.37</v>
      </c>
      <c r="D35" s="96">
        <v>4.4000000000000004</v>
      </c>
      <c r="E35" s="96">
        <v>4.38</v>
      </c>
      <c r="F35" s="96">
        <v>4.33</v>
      </c>
      <c r="G35" s="96">
        <v>4.3499999999999996</v>
      </c>
      <c r="H35" s="96">
        <v>4.33</v>
      </c>
      <c r="I35" s="96">
        <v>4.2</v>
      </c>
      <c r="J35" s="96">
        <v>4.28</v>
      </c>
      <c r="K35" s="96">
        <v>4.2699999999999996</v>
      </c>
      <c r="L35" s="96">
        <v>4.34</v>
      </c>
      <c r="M35" s="96">
        <v>4.43</v>
      </c>
      <c r="N35" s="96">
        <v>4.5</v>
      </c>
      <c r="O35" s="96">
        <v>4.7699999999999996</v>
      </c>
      <c r="P35" s="96">
        <v>4.74</v>
      </c>
    </row>
    <row r="36" spans="2:16" ht="15" thickBot="1" x14ac:dyDescent="0.4">
      <c r="B36" s="95">
        <v>45709</v>
      </c>
      <c r="C36" s="96">
        <v>4.3600000000000003</v>
      </c>
      <c r="D36" s="96">
        <v>4.3899999999999997</v>
      </c>
      <c r="E36" s="96">
        <v>4.38</v>
      </c>
      <c r="F36" s="96">
        <v>4.32</v>
      </c>
      <c r="G36" s="96">
        <v>4.34</v>
      </c>
      <c r="H36" s="96">
        <v>4.3</v>
      </c>
      <c r="I36" s="96">
        <v>4.1500000000000004</v>
      </c>
      <c r="J36" s="96">
        <v>4.1900000000000004</v>
      </c>
      <c r="K36" s="96">
        <v>4.1900000000000004</v>
      </c>
      <c r="L36" s="96">
        <v>4.26</v>
      </c>
      <c r="M36" s="96">
        <v>4.3499999999999996</v>
      </c>
      <c r="N36" s="96">
        <v>4.42</v>
      </c>
      <c r="O36" s="96">
        <v>4.6900000000000004</v>
      </c>
      <c r="P36" s="96">
        <v>4.67</v>
      </c>
    </row>
    <row r="37" spans="2:16" ht="15" thickBot="1" x14ac:dyDescent="0.4">
      <c r="B37" s="95">
        <v>45712</v>
      </c>
      <c r="C37" s="96">
        <v>4.3600000000000003</v>
      </c>
      <c r="D37" s="96">
        <v>4.38</v>
      </c>
      <c r="E37" s="96">
        <v>4.37</v>
      </c>
      <c r="F37" s="96">
        <v>4.3099999999999996</v>
      </c>
      <c r="G37" s="96">
        <v>4.34</v>
      </c>
      <c r="H37" s="96">
        <v>4.3</v>
      </c>
      <c r="I37" s="96">
        <v>4.1500000000000004</v>
      </c>
      <c r="J37" s="96">
        <v>4.13</v>
      </c>
      <c r="K37" s="96">
        <v>4.17</v>
      </c>
      <c r="L37" s="96">
        <v>4.2300000000000004</v>
      </c>
      <c r="M37" s="96">
        <v>4.32</v>
      </c>
      <c r="N37" s="96">
        <v>4.4000000000000004</v>
      </c>
      <c r="O37" s="96">
        <v>4.6900000000000004</v>
      </c>
      <c r="P37" s="96">
        <v>4.66</v>
      </c>
    </row>
    <row r="38" spans="2:16" ht="15" thickBot="1" x14ac:dyDescent="0.4">
      <c r="B38" s="95">
        <v>45713</v>
      </c>
      <c r="C38" s="96">
        <v>4.34</v>
      </c>
      <c r="D38" s="96">
        <v>4.37</v>
      </c>
      <c r="E38" s="96">
        <v>4.37</v>
      </c>
      <c r="F38" s="96">
        <v>4.3</v>
      </c>
      <c r="G38" s="96">
        <v>4.33</v>
      </c>
      <c r="H38" s="96">
        <v>4.28</v>
      </c>
      <c r="I38" s="96">
        <v>4.12</v>
      </c>
      <c r="J38" s="96">
        <v>4.07</v>
      </c>
      <c r="K38" s="96">
        <v>4.08</v>
      </c>
      <c r="L38" s="96">
        <v>4.12</v>
      </c>
      <c r="M38" s="96">
        <v>4.21</v>
      </c>
      <c r="N38" s="96">
        <v>4.3</v>
      </c>
      <c r="O38" s="96">
        <v>4.59</v>
      </c>
      <c r="P38" s="96">
        <v>4.55</v>
      </c>
    </row>
    <row r="39" spans="2:16" ht="15" thickBot="1" x14ac:dyDescent="0.4">
      <c r="B39" s="95">
        <v>45714</v>
      </c>
      <c r="C39" s="96">
        <v>4.3499999999999996</v>
      </c>
      <c r="D39" s="96">
        <v>4.38</v>
      </c>
      <c r="E39" s="96">
        <v>4.37</v>
      </c>
      <c r="F39" s="96">
        <v>4.3099999999999996</v>
      </c>
      <c r="G39" s="96">
        <v>4.32</v>
      </c>
      <c r="H39" s="96">
        <v>4.28</v>
      </c>
      <c r="I39" s="96">
        <v>4.12</v>
      </c>
      <c r="J39" s="96">
        <v>4.05</v>
      </c>
      <c r="K39" s="96">
        <v>4.04</v>
      </c>
      <c r="L39" s="96">
        <v>4.0599999999999996</v>
      </c>
      <c r="M39" s="96">
        <v>4.16</v>
      </c>
      <c r="N39" s="96">
        <v>4.25</v>
      </c>
      <c r="O39" s="96">
        <v>4.55</v>
      </c>
      <c r="P39" s="96">
        <v>4.51</v>
      </c>
    </row>
    <row r="40" spans="2:16" ht="15" thickBot="1" x14ac:dyDescent="0.4">
      <c r="B40" s="95">
        <v>45715</v>
      </c>
      <c r="C40" s="96">
        <v>4.38</v>
      </c>
      <c r="D40" s="96">
        <v>4.38</v>
      </c>
      <c r="E40" s="96">
        <v>4.38</v>
      </c>
      <c r="F40" s="96">
        <v>4.32</v>
      </c>
      <c r="G40" s="96">
        <v>4.32</v>
      </c>
      <c r="H40" s="96">
        <v>4.28</v>
      </c>
      <c r="I40" s="96">
        <v>4.13</v>
      </c>
      <c r="J40" s="96">
        <v>4.07</v>
      </c>
      <c r="K40" s="96">
        <v>4.05</v>
      </c>
      <c r="L40" s="96">
        <v>4.09</v>
      </c>
      <c r="M40" s="96">
        <v>4.1900000000000004</v>
      </c>
      <c r="N40" s="96">
        <v>4.29</v>
      </c>
      <c r="O40" s="96">
        <v>4.59</v>
      </c>
      <c r="P40" s="96">
        <v>4.5599999999999996</v>
      </c>
    </row>
    <row r="41" spans="2:16" ht="15" thickBot="1" x14ac:dyDescent="0.4">
      <c r="B41" s="95">
        <v>45716</v>
      </c>
      <c r="C41" s="96">
        <v>4.38</v>
      </c>
      <c r="D41" s="96">
        <v>4.37</v>
      </c>
      <c r="E41" s="96">
        <v>4.38</v>
      </c>
      <c r="F41" s="96">
        <v>4.32</v>
      </c>
      <c r="G41" s="96">
        <v>4.32</v>
      </c>
      <c r="H41" s="96">
        <v>4.25</v>
      </c>
      <c r="I41" s="96">
        <v>4.08</v>
      </c>
      <c r="J41" s="96">
        <v>3.99</v>
      </c>
      <c r="K41" s="96">
        <v>3.99</v>
      </c>
      <c r="L41" s="96">
        <v>4.03</v>
      </c>
      <c r="M41" s="96">
        <v>4.1399999999999997</v>
      </c>
      <c r="N41" s="96">
        <v>4.24</v>
      </c>
      <c r="O41" s="96">
        <v>4.55</v>
      </c>
      <c r="P41" s="96">
        <v>4.51</v>
      </c>
    </row>
    <row r="42" spans="2:16" ht="15" thickBot="1" x14ac:dyDescent="0.4">
      <c r="B42" s="95">
        <v>45719</v>
      </c>
      <c r="C42" s="96">
        <v>4.38</v>
      </c>
      <c r="D42" s="96">
        <v>4.38</v>
      </c>
      <c r="E42" s="96">
        <v>4.37</v>
      </c>
      <c r="F42" s="96">
        <v>4.3499999999999996</v>
      </c>
      <c r="G42" s="96">
        <v>4.3099999999999996</v>
      </c>
      <c r="H42" s="96">
        <v>4.3099999999999996</v>
      </c>
      <c r="I42" s="96">
        <v>4.0599999999999996</v>
      </c>
      <c r="J42" s="96">
        <v>3.96</v>
      </c>
      <c r="K42" s="96">
        <v>3.93</v>
      </c>
      <c r="L42" s="96">
        <v>3.97</v>
      </c>
      <c r="M42" s="96">
        <v>4.0599999999999996</v>
      </c>
      <c r="N42" s="96">
        <v>4.16</v>
      </c>
      <c r="O42" s="96">
        <v>4.49</v>
      </c>
      <c r="P42" s="96">
        <v>4.45</v>
      </c>
    </row>
    <row r="43" spans="2:16" ht="15" thickBot="1" x14ac:dyDescent="0.4">
      <c r="B43" s="95">
        <v>45720</v>
      </c>
      <c r="C43" s="96">
        <v>4.3899999999999997</v>
      </c>
      <c r="D43" s="96">
        <v>4.38</v>
      </c>
      <c r="E43" s="96">
        <v>4.37</v>
      </c>
      <c r="F43" s="96">
        <v>4.34</v>
      </c>
      <c r="G43" s="96">
        <v>4.3099999999999996</v>
      </c>
      <c r="H43" s="96">
        <v>4.28</v>
      </c>
      <c r="I43" s="96">
        <v>4.04</v>
      </c>
      <c r="J43" s="96">
        <v>3.96</v>
      </c>
      <c r="K43" s="96">
        <v>3.94</v>
      </c>
      <c r="L43" s="96">
        <v>4.01</v>
      </c>
      <c r="M43" s="96">
        <v>4.1100000000000003</v>
      </c>
      <c r="N43" s="96">
        <v>4.22</v>
      </c>
      <c r="O43" s="96">
        <v>4.5599999999999996</v>
      </c>
      <c r="P43" s="96">
        <v>4.53</v>
      </c>
    </row>
    <row r="44" spans="2:16" ht="15" thickBot="1" x14ac:dyDescent="0.4">
      <c r="B44" s="95">
        <v>45721</v>
      </c>
      <c r="C44" s="96">
        <v>4.38</v>
      </c>
      <c r="D44" s="96">
        <v>4.38</v>
      </c>
      <c r="E44" s="96">
        <v>4.3600000000000003</v>
      </c>
      <c r="F44" s="96">
        <v>4.3499999999999996</v>
      </c>
      <c r="G44" s="96">
        <v>4.3</v>
      </c>
      <c r="H44" s="96">
        <v>4.3</v>
      </c>
      <c r="I44" s="96">
        <v>4.0599999999999996</v>
      </c>
      <c r="J44" s="96">
        <v>3.99</v>
      </c>
      <c r="K44" s="96">
        <v>4.01</v>
      </c>
      <c r="L44" s="96">
        <v>4.08</v>
      </c>
      <c r="M44" s="96">
        <v>4.18</v>
      </c>
      <c r="N44" s="96">
        <v>4.28</v>
      </c>
      <c r="O44" s="96">
        <v>4.6100000000000003</v>
      </c>
      <c r="P44" s="96">
        <v>4.57</v>
      </c>
    </row>
    <row r="45" spans="2:16" ht="15" thickBot="1" x14ac:dyDescent="0.4">
      <c r="B45" s="95">
        <v>45722</v>
      </c>
      <c r="C45" s="96">
        <v>4.38</v>
      </c>
      <c r="D45" s="96">
        <v>4.37</v>
      </c>
      <c r="E45" s="96">
        <v>4.34</v>
      </c>
      <c r="F45" s="96">
        <v>4.34</v>
      </c>
      <c r="G45" s="96">
        <v>4.28</v>
      </c>
      <c r="H45" s="96">
        <v>4.2699999999999996</v>
      </c>
      <c r="I45" s="96">
        <v>4.0199999999999996</v>
      </c>
      <c r="J45" s="96">
        <v>3.96</v>
      </c>
      <c r="K45" s="96">
        <v>3.98</v>
      </c>
      <c r="L45" s="96">
        <v>4.0599999999999996</v>
      </c>
      <c r="M45" s="96">
        <v>4.18</v>
      </c>
      <c r="N45" s="96">
        <v>4.29</v>
      </c>
      <c r="O45" s="96">
        <v>4.63</v>
      </c>
      <c r="P45" s="96">
        <v>4.58</v>
      </c>
    </row>
    <row r="46" spans="2:16" ht="15" thickBot="1" x14ac:dyDescent="0.4">
      <c r="B46" s="95">
        <v>45723</v>
      </c>
      <c r="C46" s="96">
        <v>4.38</v>
      </c>
      <c r="D46" s="96">
        <v>4.3600000000000003</v>
      </c>
      <c r="E46" s="96">
        <v>4.33</v>
      </c>
      <c r="F46" s="96">
        <v>4.34</v>
      </c>
      <c r="G46" s="96">
        <v>4.29</v>
      </c>
      <c r="H46" s="96">
        <v>4.29</v>
      </c>
      <c r="I46" s="96">
        <v>4.05</v>
      </c>
      <c r="J46" s="96">
        <v>3.99</v>
      </c>
      <c r="K46" s="96">
        <v>4.01</v>
      </c>
      <c r="L46" s="96">
        <v>4.09</v>
      </c>
      <c r="M46" s="96">
        <v>4.21</v>
      </c>
      <c r="N46" s="96">
        <v>4.32</v>
      </c>
      <c r="O46" s="96">
        <v>4.66</v>
      </c>
      <c r="P46" s="96">
        <v>4.62</v>
      </c>
    </row>
    <row r="47" spans="2:16" ht="15" thickBot="1" x14ac:dyDescent="0.4">
      <c r="B47" s="95">
        <v>45726</v>
      </c>
      <c r="C47" s="96">
        <v>4.37</v>
      </c>
      <c r="D47" s="96">
        <v>4.3499999999999996</v>
      </c>
      <c r="E47" s="96">
        <v>4.34</v>
      </c>
      <c r="F47" s="96">
        <v>4.33</v>
      </c>
      <c r="G47" s="96">
        <v>4.28</v>
      </c>
      <c r="H47" s="96">
        <v>4.25</v>
      </c>
      <c r="I47" s="96">
        <v>3.98</v>
      </c>
      <c r="J47" s="96">
        <v>3.89</v>
      </c>
      <c r="K47" s="96">
        <v>3.91</v>
      </c>
      <c r="L47" s="96">
        <v>3.98</v>
      </c>
      <c r="M47" s="96">
        <v>4.0999999999999996</v>
      </c>
      <c r="N47" s="96">
        <v>4.22</v>
      </c>
      <c r="O47" s="96">
        <v>4.58</v>
      </c>
      <c r="P47" s="96">
        <v>4.54</v>
      </c>
    </row>
    <row r="48" spans="2:16" ht="15" thickBot="1" x14ac:dyDescent="0.4">
      <c r="B48" s="95">
        <v>45727</v>
      </c>
      <c r="C48" s="96">
        <v>4.37</v>
      </c>
      <c r="D48" s="96">
        <v>4.37</v>
      </c>
      <c r="E48" s="96">
        <v>4.33</v>
      </c>
      <c r="F48" s="96">
        <v>4.34</v>
      </c>
      <c r="G48" s="96">
        <v>4.28</v>
      </c>
      <c r="H48" s="96">
        <v>4.26</v>
      </c>
      <c r="I48" s="96">
        <v>4.03</v>
      </c>
      <c r="J48" s="96">
        <v>3.94</v>
      </c>
      <c r="K48" s="96">
        <v>3.92</v>
      </c>
      <c r="L48" s="96">
        <v>4.03</v>
      </c>
      <c r="M48" s="96">
        <v>4.16</v>
      </c>
      <c r="N48" s="96">
        <v>4.28</v>
      </c>
      <c r="O48" s="96">
        <v>4.63</v>
      </c>
      <c r="P48" s="96">
        <v>4.59</v>
      </c>
    </row>
    <row r="49" spans="2:16" ht="15" thickBot="1" x14ac:dyDescent="0.4">
      <c r="B49" s="95">
        <v>45728</v>
      </c>
      <c r="C49" s="96">
        <v>4.3600000000000003</v>
      </c>
      <c r="D49" s="96">
        <v>4.3600000000000003</v>
      </c>
      <c r="E49" s="96">
        <v>4.34</v>
      </c>
      <c r="F49" s="96">
        <v>4.3499999999999996</v>
      </c>
      <c r="G49" s="96">
        <v>4.3</v>
      </c>
      <c r="H49" s="96">
        <v>4.2699999999999996</v>
      </c>
      <c r="I49" s="96">
        <v>4.07</v>
      </c>
      <c r="J49" s="96">
        <v>4.01</v>
      </c>
      <c r="K49" s="96">
        <v>3.98</v>
      </c>
      <c r="L49" s="96">
        <v>4.09</v>
      </c>
      <c r="M49" s="96">
        <v>4.2</v>
      </c>
      <c r="N49" s="96">
        <v>4.32</v>
      </c>
      <c r="O49" s="96">
        <v>4.67</v>
      </c>
      <c r="P49" s="96">
        <v>4.63</v>
      </c>
    </row>
    <row r="50" spans="2:16" ht="15" thickBot="1" x14ac:dyDescent="0.4">
      <c r="B50" s="95">
        <v>45729</v>
      </c>
      <c r="C50" s="96">
        <v>4.37</v>
      </c>
      <c r="D50" s="96">
        <v>4.37</v>
      </c>
      <c r="E50" s="96">
        <v>4.34</v>
      </c>
      <c r="F50" s="96">
        <v>4.34</v>
      </c>
      <c r="G50" s="96">
        <v>4.28</v>
      </c>
      <c r="H50" s="96">
        <v>4.2699999999999996</v>
      </c>
      <c r="I50" s="96">
        <v>4.03</v>
      </c>
      <c r="J50" s="96">
        <v>3.94</v>
      </c>
      <c r="K50" s="96">
        <v>3.93</v>
      </c>
      <c r="L50" s="96">
        <v>4.0199999999999996</v>
      </c>
      <c r="M50" s="96">
        <v>4.1500000000000004</v>
      </c>
      <c r="N50" s="96">
        <v>4.2699999999999996</v>
      </c>
      <c r="O50" s="96">
        <v>4.63</v>
      </c>
      <c r="P50" s="96">
        <v>4.59</v>
      </c>
    </row>
    <row r="51" spans="2:16" ht="15" thickBot="1" x14ac:dyDescent="0.4">
      <c r="B51" s="95">
        <v>45730</v>
      </c>
      <c r="C51" s="96">
        <v>4.37</v>
      </c>
      <c r="D51" s="96">
        <v>4.3600000000000003</v>
      </c>
      <c r="E51" s="96">
        <v>4.33</v>
      </c>
      <c r="F51" s="96">
        <v>4.33</v>
      </c>
      <c r="G51" s="96">
        <v>4.3</v>
      </c>
      <c r="H51" s="96">
        <v>4.29</v>
      </c>
      <c r="I51" s="96">
        <v>4.09</v>
      </c>
      <c r="J51" s="96">
        <v>4.0199999999999996</v>
      </c>
      <c r="K51" s="96">
        <v>4</v>
      </c>
      <c r="L51" s="96">
        <v>4.09</v>
      </c>
      <c r="M51" s="96">
        <v>4.2</v>
      </c>
      <c r="N51" s="96">
        <v>4.3099999999999996</v>
      </c>
      <c r="O51" s="96">
        <v>4.6500000000000004</v>
      </c>
      <c r="P51" s="96">
        <v>4.62</v>
      </c>
    </row>
    <row r="52" spans="2:16" ht="15" thickBot="1" x14ac:dyDescent="0.4">
      <c r="B52" s="95">
        <v>45733</v>
      </c>
      <c r="C52" s="96">
        <v>4.37</v>
      </c>
      <c r="D52" s="96">
        <v>4.3499999999999996</v>
      </c>
      <c r="E52" s="96">
        <v>4.33</v>
      </c>
      <c r="F52" s="96">
        <v>4.34</v>
      </c>
      <c r="G52" s="96">
        <v>4.3</v>
      </c>
      <c r="H52" s="96">
        <v>4.29</v>
      </c>
      <c r="I52" s="96">
        <v>4.1100000000000003</v>
      </c>
      <c r="J52" s="96">
        <v>4.0599999999999996</v>
      </c>
      <c r="K52" s="96">
        <v>4.03</v>
      </c>
      <c r="L52" s="96">
        <v>4.1100000000000003</v>
      </c>
      <c r="M52" s="96">
        <v>4.21</v>
      </c>
      <c r="N52" s="96">
        <v>4.3099999999999996</v>
      </c>
      <c r="O52" s="96">
        <v>4.6399999999999997</v>
      </c>
      <c r="P52" s="96">
        <v>4.5999999999999996</v>
      </c>
    </row>
    <row r="53" spans="2:16" ht="15" thickBot="1" x14ac:dyDescent="0.4">
      <c r="B53" s="95">
        <v>45734</v>
      </c>
      <c r="C53" s="96">
        <v>4.37</v>
      </c>
      <c r="D53" s="96">
        <v>4.3499999999999996</v>
      </c>
      <c r="E53" s="96">
        <v>4.33</v>
      </c>
      <c r="F53" s="96">
        <v>4.34</v>
      </c>
      <c r="G53" s="96">
        <v>4.29</v>
      </c>
      <c r="H53" s="96">
        <v>4.29</v>
      </c>
      <c r="I53" s="96">
        <v>4.13</v>
      </c>
      <c r="J53" s="96">
        <v>4.04</v>
      </c>
      <c r="K53" s="96">
        <v>4.01</v>
      </c>
      <c r="L53" s="96">
        <v>4.07</v>
      </c>
      <c r="M53" s="96">
        <v>4.18</v>
      </c>
      <c r="N53" s="96">
        <v>4.29</v>
      </c>
      <c r="O53" s="96">
        <v>4.6100000000000003</v>
      </c>
      <c r="P53" s="96">
        <v>4.58</v>
      </c>
    </row>
    <row r="54" spans="2:16" ht="15" thickBot="1" x14ac:dyDescent="0.4">
      <c r="B54" s="95">
        <v>45735</v>
      </c>
      <c r="C54" s="96">
        <v>4.37</v>
      </c>
      <c r="D54" s="96">
        <v>4.34</v>
      </c>
      <c r="E54" s="96">
        <v>4.32</v>
      </c>
      <c r="F54" s="96">
        <v>4.33</v>
      </c>
      <c r="G54" s="96">
        <v>4.3</v>
      </c>
      <c r="H54" s="96">
        <v>4.29</v>
      </c>
      <c r="I54" s="96">
        <v>4.0999999999999996</v>
      </c>
      <c r="J54" s="96">
        <v>3.99</v>
      </c>
      <c r="K54" s="96">
        <v>3.95</v>
      </c>
      <c r="L54" s="96">
        <v>4.03</v>
      </c>
      <c r="M54" s="96">
        <v>4.1399999999999997</v>
      </c>
      <c r="N54" s="96">
        <v>4.25</v>
      </c>
      <c r="O54" s="96">
        <v>4.58</v>
      </c>
      <c r="P54" s="96">
        <v>4.5599999999999996</v>
      </c>
    </row>
    <row r="55" spans="2:16" ht="15" thickBot="1" x14ac:dyDescent="0.4">
      <c r="B55" s="95">
        <v>45736</v>
      </c>
      <c r="C55" s="96">
        <v>4.3600000000000003</v>
      </c>
      <c r="D55" s="96">
        <v>4.34</v>
      </c>
      <c r="E55" s="96">
        <v>4.34</v>
      </c>
      <c r="F55" s="96">
        <v>4.33</v>
      </c>
      <c r="G55" s="96">
        <v>4.29</v>
      </c>
      <c r="H55" s="96">
        <v>4.2699999999999996</v>
      </c>
      <c r="I55" s="96">
        <v>4.0599999999999996</v>
      </c>
      <c r="J55" s="96">
        <v>3.95</v>
      </c>
      <c r="K55" s="96">
        <v>3.93</v>
      </c>
      <c r="L55" s="96">
        <v>4.01</v>
      </c>
      <c r="M55" s="96">
        <v>4.12</v>
      </c>
      <c r="N55" s="96">
        <v>4.24</v>
      </c>
      <c r="O55" s="96">
        <v>4.57</v>
      </c>
      <c r="P55" s="96">
        <v>4.55</v>
      </c>
    </row>
    <row r="56" spans="2:16" ht="15" thickBot="1" x14ac:dyDescent="0.4">
      <c r="B56" s="95">
        <v>45737</v>
      </c>
      <c r="C56" s="96">
        <v>4.3600000000000003</v>
      </c>
      <c r="D56" s="96">
        <v>4.33</v>
      </c>
      <c r="E56" s="96">
        <v>4.33</v>
      </c>
      <c r="F56" s="96">
        <v>4.33</v>
      </c>
      <c r="G56" s="96">
        <v>4.29</v>
      </c>
      <c r="H56" s="96">
        <v>4.26</v>
      </c>
      <c r="I56" s="96">
        <v>4.04</v>
      </c>
      <c r="J56" s="96">
        <v>3.94</v>
      </c>
      <c r="K56" s="96">
        <v>3.92</v>
      </c>
      <c r="L56" s="96">
        <v>4</v>
      </c>
      <c r="M56" s="96">
        <v>4.12</v>
      </c>
      <c r="N56" s="96">
        <v>4.25</v>
      </c>
      <c r="O56" s="96">
        <v>4.5999999999999996</v>
      </c>
      <c r="P56" s="96">
        <v>4.59</v>
      </c>
    </row>
    <row r="57" spans="2:16" ht="15" thickBot="1" x14ac:dyDescent="0.4">
      <c r="B57" s="95">
        <v>45740</v>
      </c>
      <c r="C57" s="96">
        <v>4.3499999999999996</v>
      </c>
      <c r="D57" s="96">
        <v>4.34</v>
      </c>
      <c r="E57" s="96">
        <v>4.34</v>
      </c>
      <c r="F57" s="96">
        <v>4.33</v>
      </c>
      <c r="G57" s="96">
        <v>4.3</v>
      </c>
      <c r="H57" s="96">
        <v>4.2699999999999996</v>
      </c>
      <c r="I57" s="96">
        <v>4.1100000000000003</v>
      </c>
      <c r="J57" s="96">
        <v>4.04</v>
      </c>
      <c r="K57" s="96">
        <v>4.01</v>
      </c>
      <c r="L57" s="96">
        <v>4.09</v>
      </c>
      <c r="M57" s="96">
        <v>4.22</v>
      </c>
      <c r="N57" s="96">
        <v>4.34</v>
      </c>
      <c r="O57" s="96">
        <v>4.68</v>
      </c>
      <c r="P57" s="96">
        <v>4.66</v>
      </c>
    </row>
    <row r="58" spans="2:16" ht="15" thickBot="1" x14ac:dyDescent="0.4">
      <c r="B58" s="95">
        <v>45741</v>
      </c>
      <c r="C58" s="96">
        <v>4.3600000000000003</v>
      </c>
      <c r="D58" s="96">
        <v>4.34</v>
      </c>
      <c r="E58" s="96">
        <v>4.33</v>
      </c>
      <c r="F58" s="96">
        <v>4.33</v>
      </c>
      <c r="G58" s="96">
        <v>4.3</v>
      </c>
      <c r="H58" s="96">
        <v>4.26</v>
      </c>
      <c r="I58" s="96">
        <v>4.09</v>
      </c>
      <c r="J58" s="96">
        <v>3.96</v>
      </c>
      <c r="K58" s="96">
        <v>3.98</v>
      </c>
      <c r="L58" s="96">
        <v>4.07</v>
      </c>
      <c r="M58" s="96">
        <v>4.1900000000000004</v>
      </c>
      <c r="N58" s="96">
        <v>4.3099999999999996</v>
      </c>
      <c r="O58" s="96">
        <v>4.67</v>
      </c>
      <c r="P58" s="96">
        <v>4.6500000000000004</v>
      </c>
    </row>
    <row r="59" spans="2:16" ht="15" thickBot="1" x14ac:dyDescent="0.4">
      <c r="B59" s="95">
        <v>45742</v>
      </c>
      <c r="C59" s="96">
        <v>4.3600000000000003</v>
      </c>
      <c r="D59" s="96">
        <v>4.34</v>
      </c>
      <c r="E59" s="96">
        <v>4.33</v>
      </c>
      <c r="F59" s="96">
        <v>4.33</v>
      </c>
      <c r="G59" s="96">
        <v>4.3099999999999996</v>
      </c>
      <c r="H59" s="96">
        <v>4.26</v>
      </c>
      <c r="I59" s="96">
        <v>4.0999999999999996</v>
      </c>
      <c r="J59" s="96">
        <v>3.98</v>
      </c>
      <c r="K59" s="96">
        <v>4.01</v>
      </c>
      <c r="L59" s="96">
        <v>4.08</v>
      </c>
      <c r="M59" s="96">
        <v>4.22</v>
      </c>
      <c r="N59" s="96">
        <v>4.3499999999999996</v>
      </c>
      <c r="O59" s="96">
        <v>4.71</v>
      </c>
      <c r="P59" s="96">
        <v>4.6900000000000004</v>
      </c>
    </row>
    <row r="60" spans="2:16" ht="15" thickBot="1" x14ac:dyDescent="0.4">
      <c r="B60" s="95">
        <v>45743</v>
      </c>
      <c r="C60" s="96">
        <v>4.37</v>
      </c>
      <c r="D60" s="96">
        <v>4.3499999999999996</v>
      </c>
      <c r="E60" s="96">
        <v>4.3600000000000003</v>
      </c>
      <c r="F60" s="96">
        <v>4.33</v>
      </c>
      <c r="G60" s="96">
        <v>4.3099999999999996</v>
      </c>
      <c r="H60" s="96">
        <v>4.2699999999999996</v>
      </c>
      <c r="I60" s="96">
        <v>4.0999999999999996</v>
      </c>
      <c r="J60" s="96">
        <v>3.97</v>
      </c>
      <c r="K60" s="96">
        <v>4</v>
      </c>
      <c r="L60" s="96">
        <v>4.09</v>
      </c>
      <c r="M60" s="96">
        <v>4.2300000000000004</v>
      </c>
      <c r="N60" s="96">
        <v>4.38</v>
      </c>
      <c r="O60" s="96">
        <v>4.75</v>
      </c>
      <c r="P60" s="96">
        <v>4.7300000000000004</v>
      </c>
    </row>
    <row r="61" spans="2:16" ht="15" thickBot="1" x14ac:dyDescent="0.4">
      <c r="B61" s="95">
        <v>45744</v>
      </c>
      <c r="C61" s="96">
        <v>4.38</v>
      </c>
      <c r="D61" s="96">
        <v>4.3499999999999996</v>
      </c>
      <c r="E61" s="96">
        <v>4.3499999999999996</v>
      </c>
      <c r="F61" s="96">
        <v>4.33</v>
      </c>
      <c r="G61" s="96">
        <v>4.3</v>
      </c>
      <c r="H61" s="96">
        <v>4.26</v>
      </c>
      <c r="I61" s="96">
        <v>4.04</v>
      </c>
      <c r="J61" s="96">
        <v>3.89</v>
      </c>
      <c r="K61" s="96">
        <v>3.91</v>
      </c>
      <c r="L61" s="96">
        <v>3.98</v>
      </c>
      <c r="M61" s="96">
        <v>4.1100000000000003</v>
      </c>
      <c r="N61" s="96">
        <v>4.2699999999999996</v>
      </c>
      <c r="O61" s="96">
        <v>4.6500000000000004</v>
      </c>
      <c r="P61" s="96">
        <v>4.6399999999999997</v>
      </c>
    </row>
    <row r="62" spans="2:16" ht="15" thickBot="1" x14ac:dyDescent="0.4">
      <c r="B62" s="95">
        <v>45747</v>
      </c>
      <c r="C62" s="96">
        <v>4.38</v>
      </c>
      <c r="D62" s="96">
        <v>4.3600000000000003</v>
      </c>
      <c r="E62" s="96">
        <v>4.3499999999999996</v>
      </c>
      <c r="F62" s="96">
        <v>4.32</v>
      </c>
      <c r="G62" s="96">
        <v>4.3099999999999996</v>
      </c>
      <c r="H62" s="96">
        <v>4.2300000000000004</v>
      </c>
      <c r="I62" s="96">
        <v>4.03</v>
      </c>
      <c r="J62" s="96">
        <v>3.89</v>
      </c>
      <c r="K62" s="96">
        <v>3.89</v>
      </c>
      <c r="L62" s="96">
        <v>3.96</v>
      </c>
      <c r="M62" s="96">
        <v>4.09</v>
      </c>
      <c r="N62" s="96">
        <v>4.2300000000000004</v>
      </c>
      <c r="O62" s="96">
        <v>4.62</v>
      </c>
      <c r="P62" s="96">
        <v>4.59</v>
      </c>
    </row>
    <row r="63" spans="2:16" ht="15" thickBot="1" x14ac:dyDescent="0.4">
      <c r="B63" s="95">
        <v>45748</v>
      </c>
      <c r="C63" s="96">
        <v>4.38</v>
      </c>
      <c r="D63" s="96">
        <v>4.3600000000000003</v>
      </c>
      <c r="E63" s="96">
        <v>4.3499999999999996</v>
      </c>
      <c r="F63" s="96">
        <v>4.32</v>
      </c>
      <c r="G63" s="96">
        <v>4.3</v>
      </c>
      <c r="H63" s="96">
        <v>4.2300000000000004</v>
      </c>
      <c r="I63" s="96">
        <v>4.01</v>
      </c>
      <c r="J63" s="96">
        <v>3.87</v>
      </c>
      <c r="K63" s="96">
        <v>3.85</v>
      </c>
      <c r="L63" s="96">
        <v>3.91</v>
      </c>
      <c r="M63" s="96">
        <v>4.03</v>
      </c>
      <c r="N63" s="96">
        <v>4.17</v>
      </c>
      <c r="O63" s="96">
        <v>4.5599999999999996</v>
      </c>
      <c r="P63" s="96">
        <v>4.5199999999999996</v>
      </c>
    </row>
    <row r="64" spans="2:16" ht="15" thickBot="1" x14ac:dyDescent="0.4">
      <c r="B64" s="95">
        <v>45749</v>
      </c>
      <c r="C64" s="96">
        <v>4.38</v>
      </c>
      <c r="D64" s="96">
        <v>4.3600000000000003</v>
      </c>
      <c r="E64" s="96">
        <v>4.34</v>
      </c>
      <c r="F64" s="96">
        <v>4.32</v>
      </c>
      <c r="G64" s="96">
        <v>4.32</v>
      </c>
      <c r="H64" s="96">
        <v>4.24</v>
      </c>
      <c r="I64" s="96">
        <v>4.04</v>
      </c>
      <c r="J64" s="96">
        <v>3.91</v>
      </c>
      <c r="K64" s="96">
        <v>3.89</v>
      </c>
      <c r="L64" s="96">
        <v>3.95</v>
      </c>
      <c r="M64" s="96">
        <v>4.07</v>
      </c>
      <c r="N64" s="96">
        <v>4.2</v>
      </c>
      <c r="O64" s="96">
        <v>4.58</v>
      </c>
      <c r="P64" s="96">
        <v>4.54</v>
      </c>
    </row>
    <row r="65" spans="2:16" ht="15" thickBot="1" x14ac:dyDescent="0.4">
      <c r="B65" s="95">
        <v>45750</v>
      </c>
      <c r="C65" s="96">
        <v>4.3600000000000003</v>
      </c>
      <c r="D65" s="96">
        <v>4.37</v>
      </c>
      <c r="E65" s="96">
        <v>4.38</v>
      </c>
      <c r="F65" s="96">
        <v>4.3099999999999996</v>
      </c>
      <c r="G65" s="96">
        <v>4.29</v>
      </c>
      <c r="H65" s="96">
        <v>4.2</v>
      </c>
      <c r="I65" s="96">
        <v>3.92</v>
      </c>
      <c r="J65" s="96">
        <v>3.71</v>
      </c>
      <c r="K65" s="96">
        <v>3.68</v>
      </c>
      <c r="L65" s="96">
        <v>3.75</v>
      </c>
      <c r="M65" s="96">
        <v>3.88</v>
      </c>
      <c r="N65" s="96">
        <v>4.0599999999999996</v>
      </c>
      <c r="O65" s="96">
        <v>4.51</v>
      </c>
      <c r="P65" s="96">
        <v>4.49</v>
      </c>
    </row>
    <row r="66" spans="2:16" ht="15" thickBot="1" x14ac:dyDescent="0.4">
      <c r="B66" s="95">
        <v>45751</v>
      </c>
      <c r="C66" s="96">
        <v>4.3600000000000003</v>
      </c>
      <c r="D66" s="96">
        <v>4.3499999999999996</v>
      </c>
      <c r="E66" s="96">
        <v>4.3600000000000003</v>
      </c>
      <c r="F66" s="96">
        <v>4.28</v>
      </c>
      <c r="G66" s="96">
        <v>4.25</v>
      </c>
      <c r="H66" s="96">
        <v>4.1399999999999997</v>
      </c>
      <c r="I66" s="96">
        <v>3.86</v>
      </c>
      <c r="J66" s="96">
        <v>3.68</v>
      </c>
      <c r="K66" s="96">
        <v>3.66</v>
      </c>
      <c r="L66" s="96">
        <v>3.72</v>
      </c>
      <c r="M66" s="96">
        <v>3.84</v>
      </c>
      <c r="N66" s="96">
        <v>4.01</v>
      </c>
      <c r="O66" s="96">
        <v>4.4400000000000004</v>
      </c>
      <c r="P66" s="96">
        <v>4.41</v>
      </c>
    </row>
    <row r="67" spans="2:16" ht="15" thickBot="1" x14ac:dyDescent="0.4">
      <c r="B67" s="95">
        <v>45754</v>
      </c>
      <c r="C67" s="96">
        <v>4.3600000000000003</v>
      </c>
      <c r="D67" s="96">
        <v>4.3600000000000003</v>
      </c>
      <c r="E67" s="96">
        <v>4.3600000000000003</v>
      </c>
      <c r="F67" s="96">
        <v>4.29</v>
      </c>
      <c r="G67" s="96">
        <v>4.28</v>
      </c>
      <c r="H67" s="96">
        <v>4.1399999999999997</v>
      </c>
      <c r="I67" s="96">
        <v>3.86</v>
      </c>
      <c r="J67" s="96">
        <v>3.73</v>
      </c>
      <c r="K67" s="96">
        <v>3.72</v>
      </c>
      <c r="L67" s="96">
        <v>3.82</v>
      </c>
      <c r="M67" s="96">
        <v>3.97</v>
      </c>
      <c r="N67" s="96">
        <v>4.1500000000000004</v>
      </c>
      <c r="O67" s="96">
        <v>4.6100000000000003</v>
      </c>
      <c r="P67" s="96">
        <v>4.58</v>
      </c>
    </row>
    <row r="68" spans="2:16" ht="15" thickBot="1" x14ac:dyDescent="0.4">
      <c r="B68" s="95">
        <v>45755</v>
      </c>
      <c r="C68" s="96">
        <v>4.3600000000000003</v>
      </c>
      <c r="D68" s="96">
        <v>4.3899999999999997</v>
      </c>
      <c r="E68" s="96">
        <v>4.37</v>
      </c>
      <c r="F68" s="96">
        <v>4.3099999999999996</v>
      </c>
      <c r="G68" s="96">
        <v>4.3</v>
      </c>
      <c r="H68" s="96">
        <v>4.1399999999999997</v>
      </c>
      <c r="I68" s="96">
        <v>3.83</v>
      </c>
      <c r="J68" s="96">
        <v>3.71</v>
      </c>
      <c r="K68" s="96">
        <v>3.71</v>
      </c>
      <c r="L68" s="96">
        <v>3.88</v>
      </c>
      <c r="M68" s="96">
        <v>4.05</v>
      </c>
      <c r="N68" s="96">
        <v>4.26</v>
      </c>
      <c r="O68" s="96">
        <v>4.76</v>
      </c>
      <c r="P68" s="96">
        <v>4.71</v>
      </c>
    </row>
    <row r="69" spans="2:16" ht="15" thickBot="1" x14ac:dyDescent="0.4">
      <c r="B69" s="95">
        <v>45756</v>
      </c>
      <c r="C69" s="96">
        <v>4.3600000000000003</v>
      </c>
      <c r="D69" s="96">
        <v>4.38</v>
      </c>
      <c r="E69" s="96">
        <v>4.37</v>
      </c>
      <c r="F69" s="96">
        <v>4.3499999999999996</v>
      </c>
      <c r="G69" s="96">
        <v>4.3600000000000003</v>
      </c>
      <c r="H69" s="96">
        <v>4.2300000000000004</v>
      </c>
      <c r="I69" s="96">
        <v>4.03</v>
      </c>
      <c r="J69" s="96">
        <v>3.91</v>
      </c>
      <c r="K69" s="96">
        <v>3.91</v>
      </c>
      <c r="L69" s="96">
        <v>4.0599999999999996</v>
      </c>
      <c r="M69" s="96">
        <v>4.2</v>
      </c>
      <c r="N69" s="96">
        <v>4.34</v>
      </c>
      <c r="O69" s="96">
        <v>4.78</v>
      </c>
      <c r="P69" s="96">
        <v>4.72</v>
      </c>
    </row>
    <row r="70" spans="2:16" ht="15" thickBot="1" x14ac:dyDescent="0.4">
      <c r="B70" s="95">
        <v>45757</v>
      </c>
      <c r="C70" s="96">
        <v>4.3600000000000003</v>
      </c>
      <c r="D70" s="96">
        <v>4.3600000000000003</v>
      </c>
      <c r="E70" s="96">
        <v>4.3899999999999997</v>
      </c>
      <c r="F70" s="96">
        <v>4.34</v>
      </c>
      <c r="G70" s="96">
        <v>4.33</v>
      </c>
      <c r="H70" s="96">
        <v>4.17</v>
      </c>
      <c r="I70" s="96">
        <v>3.97</v>
      </c>
      <c r="J70" s="96">
        <v>3.84</v>
      </c>
      <c r="K70" s="96">
        <v>3.85</v>
      </c>
      <c r="L70" s="96">
        <v>4.04</v>
      </c>
      <c r="M70" s="96">
        <v>4.21</v>
      </c>
      <c r="N70" s="96">
        <v>4.4000000000000004</v>
      </c>
      <c r="O70" s="96">
        <v>4.9000000000000004</v>
      </c>
      <c r="P70" s="96">
        <v>4.8600000000000003</v>
      </c>
    </row>
    <row r="71" spans="2:16" ht="15" thickBot="1" x14ac:dyDescent="0.4">
      <c r="B71" s="95">
        <v>45758</v>
      </c>
      <c r="C71" s="96">
        <v>4.37</v>
      </c>
      <c r="D71" s="96">
        <v>4.3499999999999996</v>
      </c>
      <c r="E71" s="96">
        <v>4.38</v>
      </c>
      <c r="F71" s="96">
        <v>4.34</v>
      </c>
      <c r="G71" s="96">
        <v>4.3499999999999996</v>
      </c>
      <c r="H71" s="96">
        <v>4.21</v>
      </c>
      <c r="I71" s="96">
        <v>4.04</v>
      </c>
      <c r="J71" s="96">
        <v>3.96</v>
      </c>
      <c r="K71" s="96">
        <v>3.98</v>
      </c>
      <c r="L71" s="96">
        <v>4.1500000000000004</v>
      </c>
      <c r="M71" s="96">
        <v>4.32</v>
      </c>
      <c r="N71" s="96">
        <v>4.4800000000000004</v>
      </c>
      <c r="O71" s="96">
        <v>4.91</v>
      </c>
      <c r="P71" s="96">
        <v>4.8499999999999996</v>
      </c>
    </row>
    <row r="72" spans="2:16" ht="15" thickBot="1" x14ac:dyDescent="0.4">
      <c r="B72" s="95">
        <v>45761</v>
      </c>
      <c r="C72" s="96">
        <v>4.34</v>
      </c>
      <c r="D72" s="96">
        <v>4.3600000000000003</v>
      </c>
      <c r="E72" s="96">
        <v>4.37</v>
      </c>
      <c r="F72" s="96">
        <v>4.33</v>
      </c>
      <c r="G72" s="96">
        <v>4.34</v>
      </c>
      <c r="H72" s="96">
        <v>4.21</v>
      </c>
      <c r="I72" s="96">
        <v>3.99</v>
      </c>
      <c r="J72" s="96">
        <v>3.84</v>
      </c>
      <c r="K72" s="96">
        <v>3.87</v>
      </c>
      <c r="L72" s="96">
        <v>4.0199999999999996</v>
      </c>
      <c r="M72" s="96">
        <v>4.2</v>
      </c>
      <c r="N72" s="96">
        <v>4.38</v>
      </c>
      <c r="O72" s="96">
        <v>4.84</v>
      </c>
      <c r="P72" s="96">
        <v>4.8</v>
      </c>
    </row>
    <row r="73" spans="2:16" ht="15" thickBot="1" x14ac:dyDescent="0.4">
      <c r="B73" s="95">
        <v>45762</v>
      </c>
      <c r="C73" s="96">
        <v>4.3499999999999996</v>
      </c>
      <c r="D73" s="96">
        <v>4.3600000000000003</v>
      </c>
      <c r="E73" s="96">
        <v>4.3600000000000003</v>
      </c>
      <c r="F73" s="96">
        <v>4.33</v>
      </c>
      <c r="G73" s="96">
        <v>4.32</v>
      </c>
      <c r="H73" s="96">
        <v>4.21</v>
      </c>
      <c r="I73" s="96">
        <v>3.99</v>
      </c>
      <c r="J73" s="96">
        <v>3.84</v>
      </c>
      <c r="K73" s="96">
        <v>3.85</v>
      </c>
      <c r="L73" s="96">
        <v>3.98</v>
      </c>
      <c r="M73" s="96">
        <v>4.1500000000000004</v>
      </c>
      <c r="N73" s="96">
        <v>4.3499999999999996</v>
      </c>
      <c r="O73" s="96">
        <v>4.82</v>
      </c>
      <c r="P73" s="96">
        <v>4.79</v>
      </c>
    </row>
    <row r="74" spans="2:16" ht="15" thickBot="1" x14ac:dyDescent="0.4">
      <c r="B74" s="95">
        <v>45763</v>
      </c>
      <c r="C74" s="96">
        <v>4.3499999999999996</v>
      </c>
      <c r="D74" s="96">
        <v>4.3499999999999996</v>
      </c>
      <c r="E74" s="96">
        <v>4.3499999999999996</v>
      </c>
      <c r="F74" s="96">
        <v>4.33</v>
      </c>
      <c r="G74" s="96">
        <v>4.34</v>
      </c>
      <c r="H74" s="96">
        <v>4.2</v>
      </c>
      <c r="I74" s="96">
        <v>3.96</v>
      </c>
      <c r="J74" s="96">
        <v>3.77</v>
      </c>
      <c r="K74" s="96">
        <v>3.77</v>
      </c>
      <c r="L74" s="96">
        <v>3.91</v>
      </c>
      <c r="M74" s="96">
        <v>4.08</v>
      </c>
      <c r="N74" s="96">
        <v>4.29</v>
      </c>
      <c r="O74" s="96">
        <v>4.7699999999999996</v>
      </c>
      <c r="P74" s="96">
        <v>4.74</v>
      </c>
    </row>
    <row r="75" spans="2:16" ht="15" thickBot="1" x14ac:dyDescent="0.4">
      <c r="B75" s="95">
        <v>45764</v>
      </c>
      <c r="C75" s="96">
        <v>4.3600000000000003</v>
      </c>
      <c r="D75" s="96">
        <v>4.3499999999999996</v>
      </c>
      <c r="E75" s="96">
        <v>4.38</v>
      </c>
      <c r="F75" s="96">
        <v>4.34</v>
      </c>
      <c r="G75" s="96">
        <v>4.3499999999999996</v>
      </c>
      <c r="H75" s="96">
        <v>4.22</v>
      </c>
      <c r="I75" s="96">
        <v>3.99</v>
      </c>
      <c r="J75" s="96">
        <v>3.81</v>
      </c>
      <c r="K75" s="96">
        <v>3.82</v>
      </c>
      <c r="L75" s="96">
        <v>3.95</v>
      </c>
      <c r="M75" s="96">
        <v>4.13</v>
      </c>
      <c r="N75" s="96">
        <v>4.34</v>
      </c>
      <c r="O75" s="96">
        <v>4.82</v>
      </c>
      <c r="P75" s="96">
        <v>4.8</v>
      </c>
    </row>
    <row r="76" spans="2:16" ht="15" thickBot="1" x14ac:dyDescent="0.4">
      <c r="B76" s="95">
        <v>45768</v>
      </c>
      <c r="C76" s="96">
        <v>4.3499999999999996</v>
      </c>
      <c r="D76" s="96">
        <v>4.3499999999999996</v>
      </c>
      <c r="E76" s="96">
        <v>4.37</v>
      </c>
      <c r="F76" s="96">
        <v>4.34</v>
      </c>
      <c r="G76" s="96">
        <v>4.33</v>
      </c>
      <c r="H76" s="96">
        <v>4.21</v>
      </c>
      <c r="I76" s="96">
        <v>3.95</v>
      </c>
      <c r="J76" s="96">
        <v>3.75</v>
      </c>
      <c r="K76" s="96">
        <v>3.77</v>
      </c>
      <c r="L76" s="96">
        <v>3.97</v>
      </c>
      <c r="M76" s="96">
        <v>4.1900000000000004</v>
      </c>
      <c r="N76" s="96">
        <v>4.42</v>
      </c>
      <c r="O76" s="96">
        <v>4.9400000000000004</v>
      </c>
      <c r="P76" s="96">
        <v>4.91</v>
      </c>
    </row>
    <row r="77" spans="2:16" ht="15" thickBot="1" x14ac:dyDescent="0.4">
      <c r="B77" s="95">
        <v>45769</v>
      </c>
      <c r="C77" s="96">
        <v>4.33</v>
      </c>
      <c r="D77" s="96">
        <v>4.37</v>
      </c>
      <c r="E77" s="96">
        <v>4.3499999999999996</v>
      </c>
      <c r="F77" s="96">
        <v>4.33</v>
      </c>
      <c r="G77" s="96">
        <v>4.33</v>
      </c>
      <c r="H77" s="96">
        <v>4.21</v>
      </c>
      <c r="I77" s="96">
        <v>3.98</v>
      </c>
      <c r="J77" s="96">
        <v>3.76</v>
      </c>
      <c r="K77" s="96">
        <v>3.82</v>
      </c>
      <c r="L77" s="96">
        <v>3.98</v>
      </c>
      <c r="M77" s="96">
        <v>4.1900000000000004</v>
      </c>
      <c r="N77" s="96">
        <v>4.41</v>
      </c>
      <c r="O77" s="96">
        <v>4.9000000000000004</v>
      </c>
      <c r="P77" s="96">
        <v>4.88</v>
      </c>
    </row>
    <row r="78" spans="2:16" ht="15" thickBot="1" x14ac:dyDescent="0.4">
      <c r="B78" s="95">
        <v>45770</v>
      </c>
      <c r="C78" s="96">
        <v>4.33</v>
      </c>
      <c r="D78" s="96">
        <v>4.3600000000000003</v>
      </c>
      <c r="E78" s="96">
        <v>4.34</v>
      </c>
      <c r="F78" s="96">
        <v>4.33</v>
      </c>
      <c r="G78" s="96">
        <v>4.33</v>
      </c>
      <c r="H78" s="96">
        <v>4.22</v>
      </c>
      <c r="I78" s="96">
        <v>4.01</v>
      </c>
      <c r="J78" s="96">
        <v>3.81</v>
      </c>
      <c r="K78" s="96">
        <v>3.87</v>
      </c>
      <c r="L78" s="96">
        <v>4</v>
      </c>
      <c r="M78" s="96">
        <v>4.2</v>
      </c>
      <c r="N78" s="96">
        <v>4.4000000000000004</v>
      </c>
      <c r="O78" s="96">
        <v>4.8600000000000003</v>
      </c>
      <c r="P78" s="96">
        <v>4.83</v>
      </c>
    </row>
    <row r="79" spans="2:16" ht="15" thickBot="1" x14ac:dyDescent="0.4">
      <c r="B79" s="95">
        <v>45771</v>
      </c>
      <c r="C79" s="96">
        <v>4.34</v>
      </c>
      <c r="D79" s="96">
        <v>4.3600000000000003</v>
      </c>
      <c r="E79" s="96">
        <v>4.37</v>
      </c>
      <c r="F79" s="96">
        <v>4.32</v>
      </c>
      <c r="G79" s="96">
        <v>4.32</v>
      </c>
      <c r="H79" s="96">
        <v>4.22</v>
      </c>
      <c r="I79" s="96">
        <v>3.97</v>
      </c>
      <c r="J79" s="96">
        <v>3.77</v>
      </c>
      <c r="K79" s="96">
        <v>3.8</v>
      </c>
      <c r="L79" s="96">
        <v>3.91</v>
      </c>
      <c r="M79" s="96">
        <v>4.1100000000000003</v>
      </c>
      <c r="N79" s="96">
        <v>4.32</v>
      </c>
      <c r="O79" s="96">
        <v>4.79</v>
      </c>
      <c r="P79" s="96">
        <v>4.7699999999999996</v>
      </c>
    </row>
    <row r="80" spans="2:16" ht="15" thickBot="1" x14ac:dyDescent="0.4">
      <c r="B80" s="95">
        <v>45772</v>
      </c>
      <c r="C80" s="96">
        <v>4.34</v>
      </c>
      <c r="D80" s="96">
        <v>4.37</v>
      </c>
      <c r="E80" s="96">
        <v>4.3600000000000003</v>
      </c>
      <c r="F80" s="96">
        <v>4.32</v>
      </c>
      <c r="G80" s="96">
        <v>4.32</v>
      </c>
      <c r="H80" s="96">
        <v>4.22</v>
      </c>
      <c r="I80" s="96">
        <v>3.95</v>
      </c>
      <c r="J80" s="96">
        <v>3.74</v>
      </c>
      <c r="K80" s="96">
        <v>3.76</v>
      </c>
      <c r="L80" s="96">
        <v>3.88</v>
      </c>
      <c r="M80" s="96">
        <v>4.0599999999999996</v>
      </c>
      <c r="N80" s="96">
        <v>4.29</v>
      </c>
      <c r="O80" s="96">
        <v>4.75</v>
      </c>
      <c r="P80" s="96">
        <v>4.74</v>
      </c>
    </row>
    <row r="81" spans="2:16" ht="15" thickBot="1" x14ac:dyDescent="0.4">
      <c r="B81" s="95">
        <v>45775</v>
      </c>
      <c r="C81" s="96">
        <v>4.3499999999999996</v>
      </c>
      <c r="D81" s="96">
        <v>4.37</v>
      </c>
      <c r="E81" s="96">
        <v>4.37</v>
      </c>
      <c r="F81" s="96">
        <v>4.32</v>
      </c>
      <c r="G81" s="96">
        <v>4.32</v>
      </c>
      <c r="H81" s="96">
        <v>4.22</v>
      </c>
      <c r="I81" s="96">
        <v>3.92</v>
      </c>
      <c r="J81" s="96">
        <v>3.67</v>
      </c>
      <c r="K81" s="96">
        <v>3.67</v>
      </c>
      <c r="L81" s="96">
        <v>3.81</v>
      </c>
      <c r="M81" s="96">
        <v>4.01</v>
      </c>
      <c r="N81" s="96">
        <v>4.2300000000000004</v>
      </c>
      <c r="O81" s="96">
        <v>4.71</v>
      </c>
      <c r="P81" s="96">
        <v>4.6900000000000004</v>
      </c>
    </row>
    <row r="82" spans="2:16" ht="15" thickBot="1" x14ac:dyDescent="0.4">
      <c r="B82" s="95">
        <v>45776</v>
      </c>
      <c r="C82" s="96">
        <v>4.3499999999999996</v>
      </c>
      <c r="D82" s="96">
        <v>4.38</v>
      </c>
      <c r="E82" s="96">
        <v>4.3600000000000003</v>
      </c>
      <c r="F82" s="96">
        <v>4.3099999999999996</v>
      </c>
      <c r="G82" s="96">
        <v>4.3</v>
      </c>
      <c r="H82" s="96">
        <v>4.2</v>
      </c>
      <c r="I82" s="96">
        <v>3.89</v>
      </c>
      <c r="J82" s="96">
        <v>3.65</v>
      </c>
      <c r="K82" s="96">
        <v>3.65</v>
      </c>
      <c r="L82" s="96">
        <v>3.77</v>
      </c>
      <c r="M82" s="96">
        <v>3.96</v>
      </c>
      <c r="N82" s="96">
        <v>4.1900000000000004</v>
      </c>
      <c r="O82" s="96">
        <v>4.66</v>
      </c>
      <c r="P82" s="96">
        <v>4.6399999999999997</v>
      </c>
    </row>
    <row r="83" spans="2:16" ht="15" thickBot="1" x14ac:dyDescent="0.4">
      <c r="B83" s="95">
        <v>45777</v>
      </c>
      <c r="C83" s="96">
        <v>4.3499999999999996</v>
      </c>
      <c r="D83" s="96">
        <v>4.37</v>
      </c>
      <c r="E83" s="96">
        <v>4.3600000000000003</v>
      </c>
      <c r="F83" s="96">
        <v>4.3099999999999996</v>
      </c>
      <c r="G83" s="96">
        <v>4.37</v>
      </c>
      <c r="H83" s="96">
        <v>4.1900000000000004</v>
      </c>
      <c r="I83" s="96">
        <v>3.85</v>
      </c>
      <c r="J83" s="96">
        <v>3.6</v>
      </c>
      <c r="K83" s="96">
        <v>3.58</v>
      </c>
      <c r="L83" s="96">
        <v>3.72</v>
      </c>
      <c r="M83" s="96">
        <v>3.93</v>
      </c>
      <c r="N83" s="96">
        <v>4.17</v>
      </c>
      <c r="O83" s="96">
        <v>4.68</v>
      </c>
      <c r="P83" s="96">
        <v>4.66</v>
      </c>
    </row>
    <row r="84" spans="2:16" ht="15" thickBot="1" x14ac:dyDescent="0.4">
      <c r="B84" s="95">
        <v>45778</v>
      </c>
      <c r="C84" s="96">
        <v>4.38</v>
      </c>
      <c r="D84" s="96">
        <v>4.3600000000000003</v>
      </c>
      <c r="E84" s="96">
        <v>4.34</v>
      </c>
      <c r="F84" s="96">
        <v>4.3099999999999996</v>
      </c>
      <c r="G84" s="96">
        <v>4.38</v>
      </c>
      <c r="H84" s="96">
        <v>4.22</v>
      </c>
      <c r="I84" s="96">
        <v>3.92</v>
      </c>
      <c r="J84" s="96">
        <v>3.7</v>
      </c>
      <c r="K84" s="96">
        <v>3.69</v>
      </c>
      <c r="L84" s="96">
        <v>3.81</v>
      </c>
      <c r="M84" s="96">
        <v>4.0199999999999996</v>
      </c>
      <c r="N84" s="96">
        <v>4.25</v>
      </c>
      <c r="O84" s="96">
        <v>4.75</v>
      </c>
      <c r="P84" s="96">
        <v>4.74</v>
      </c>
    </row>
    <row r="85" spans="2:16" ht="15" thickBot="1" x14ac:dyDescent="0.4">
      <c r="B85" s="95">
        <v>45779</v>
      </c>
      <c r="C85" s="96">
        <v>4.38</v>
      </c>
      <c r="D85" s="96">
        <v>4.3600000000000003</v>
      </c>
      <c r="E85" s="96">
        <v>4.34</v>
      </c>
      <c r="F85" s="96">
        <v>4.33</v>
      </c>
      <c r="G85" s="96">
        <v>4.41</v>
      </c>
      <c r="H85" s="96">
        <v>4.26</v>
      </c>
      <c r="I85" s="96">
        <v>4</v>
      </c>
      <c r="J85" s="96">
        <v>3.83</v>
      </c>
      <c r="K85" s="96">
        <v>3.82</v>
      </c>
      <c r="L85" s="96">
        <v>3.92</v>
      </c>
      <c r="M85" s="96">
        <v>4.1100000000000003</v>
      </c>
      <c r="N85" s="96">
        <v>4.33</v>
      </c>
      <c r="O85" s="96">
        <v>4.8099999999999996</v>
      </c>
      <c r="P85" s="96">
        <v>4.79</v>
      </c>
    </row>
    <row r="86" spans="2:16" ht="15" thickBot="1" x14ac:dyDescent="0.4">
      <c r="B86" s="95">
        <v>45782</v>
      </c>
      <c r="C86" s="96">
        <v>4.38</v>
      </c>
      <c r="D86" s="96">
        <v>4.3600000000000003</v>
      </c>
      <c r="E86" s="96">
        <v>4.34</v>
      </c>
      <c r="F86" s="96">
        <v>4.33</v>
      </c>
      <c r="G86" s="96">
        <v>4.4000000000000004</v>
      </c>
      <c r="H86" s="96">
        <v>4.2699999999999996</v>
      </c>
      <c r="I86" s="96">
        <v>4.0199999999999996</v>
      </c>
      <c r="J86" s="96">
        <v>3.83</v>
      </c>
      <c r="K86" s="96">
        <v>3.78</v>
      </c>
      <c r="L86" s="96">
        <v>3.95</v>
      </c>
      <c r="M86" s="96">
        <v>4.1399999999999997</v>
      </c>
      <c r="N86" s="96">
        <v>4.3600000000000003</v>
      </c>
      <c r="O86" s="96">
        <v>4.84</v>
      </c>
      <c r="P86" s="96">
        <v>4.83</v>
      </c>
    </row>
    <row r="87" spans="2:16" ht="15" thickBot="1" x14ac:dyDescent="0.4">
      <c r="B87" s="95">
        <v>45783</v>
      </c>
      <c r="C87" s="96">
        <v>4.37</v>
      </c>
      <c r="D87" s="96">
        <v>4.37</v>
      </c>
      <c r="E87" s="96">
        <v>4.33</v>
      </c>
      <c r="F87" s="96">
        <v>4.33</v>
      </c>
      <c r="G87" s="96">
        <v>4.38</v>
      </c>
      <c r="H87" s="96">
        <v>4.25</v>
      </c>
      <c r="I87" s="96">
        <v>3.98</v>
      </c>
      <c r="J87" s="96">
        <v>3.78</v>
      </c>
      <c r="K87" s="96">
        <v>3.73</v>
      </c>
      <c r="L87" s="96">
        <v>3.9</v>
      </c>
      <c r="M87" s="96">
        <v>4.0999999999999996</v>
      </c>
      <c r="N87" s="96">
        <v>4.3</v>
      </c>
      <c r="O87" s="96">
        <v>4.82</v>
      </c>
      <c r="P87" s="96">
        <v>4.8099999999999996</v>
      </c>
    </row>
    <row r="88" spans="2:16" ht="15" thickBot="1" x14ac:dyDescent="0.4">
      <c r="B88" s="95">
        <v>45784</v>
      </c>
      <c r="C88" s="96">
        <v>4.37</v>
      </c>
      <c r="D88" s="96">
        <v>4.37</v>
      </c>
      <c r="E88" s="96">
        <v>4.33</v>
      </c>
      <c r="F88" s="96">
        <v>4.34</v>
      </c>
      <c r="G88" s="96">
        <v>4.3899999999999997</v>
      </c>
      <c r="H88" s="96">
        <v>4.2699999999999996</v>
      </c>
      <c r="I88" s="96">
        <v>4</v>
      </c>
      <c r="J88" s="96">
        <v>3.78</v>
      </c>
      <c r="K88" s="96">
        <v>3.72</v>
      </c>
      <c r="L88" s="96">
        <v>3.87</v>
      </c>
      <c r="M88" s="96">
        <v>4.0599999999999996</v>
      </c>
      <c r="N88" s="96">
        <v>4.26</v>
      </c>
      <c r="O88" s="96">
        <v>4.78</v>
      </c>
      <c r="P88" s="96">
        <v>4.7699999999999996</v>
      </c>
    </row>
    <row r="89" spans="2:16" ht="15" thickBot="1" x14ac:dyDescent="0.4">
      <c r="B89" s="95">
        <v>45785</v>
      </c>
      <c r="C89" s="96">
        <v>4.37</v>
      </c>
      <c r="D89" s="96">
        <v>4.37</v>
      </c>
      <c r="E89" s="96">
        <v>4.3499999999999996</v>
      </c>
      <c r="F89" s="96">
        <v>4.34</v>
      </c>
      <c r="G89" s="96">
        <v>4.4000000000000004</v>
      </c>
      <c r="H89" s="96">
        <v>4.28</v>
      </c>
      <c r="I89" s="96">
        <v>4.05</v>
      </c>
      <c r="J89" s="96">
        <v>3.9</v>
      </c>
      <c r="K89" s="96">
        <v>3.85</v>
      </c>
      <c r="L89" s="96">
        <v>4</v>
      </c>
      <c r="M89" s="96">
        <v>4.18</v>
      </c>
      <c r="N89" s="96">
        <v>4.37</v>
      </c>
      <c r="O89" s="96">
        <v>4.8600000000000003</v>
      </c>
      <c r="P89" s="96">
        <v>4.83</v>
      </c>
    </row>
    <row r="90" spans="2:16" ht="15" thickBot="1" x14ac:dyDescent="0.4">
      <c r="B90" s="95">
        <v>45786</v>
      </c>
      <c r="C90" s="96">
        <v>4.37</v>
      </c>
      <c r="D90" s="96">
        <v>4.3600000000000003</v>
      </c>
      <c r="E90" s="96">
        <v>4.34</v>
      </c>
      <c r="F90" s="96">
        <v>4.34</v>
      </c>
      <c r="G90" s="96">
        <v>4.4000000000000004</v>
      </c>
      <c r="H90" s="96">
        <v>4.28</v>
      </c>
      <c r="I90" s="96">
        <v>4.05</v>
      </c>
      <c r="J90" s="96">
        <v>3.88</v>
      </c>
      <c r="K90" s="96">
        <v>3.85</v>
      </c>
      <c r="L90" s="96">
        <v>4</v>
      </c>
      <c r="M90" s="96">
        <v>4.18</v>
      </c>
      <c r="N90" s="96">
        <v>4.37</v>
      </c>
      <c r="O90" s="96">
        <v>4.8600000000000003</v>
      </c>
      <c r="P90" s="96">
        <v>4.83</v>
      </c>
    </row>
    <row r="91" spans="2:16" ht="15" thickBot="1" x14ac:dyDescent="0.4">
      <c r="B91" s="95">
        <v>45789</v>
      </c>
      <c r="C91" s="96">
        <v>4.38</v>
      </c>
      <c r="D91" s="96">
        <v>4.37</v>
      </c>
      <c r="E91" s="96">
        <v>4.3600000000000003</v>
      </c>
      <c r="F91" s="96">
        <v>4.42</v>
      </c>
      <c r="G91" s="96">
        <v>4.45</v>
      </c>
      <c r="H91" s="96">
        <v>4.29</v>
      </c>
      <c r="I91" s="96">
        <v>4.1100000000000003</v>
      </c>
      <c r="J91" s="96">
        <v>3.98</v>
      </c>
      <c r="K91" s="96">
        <v>3.97</v>
      </c>
      <c r="L91" s="96">
        <v>4.09</v>
      </c>
      <c r="M91" s="96">
        <v>4.2699999999999996</v>
      </c>
      <c r="N91" s="96">
        <v>4.45</v>
      </c>
      <c r="O91" s="96">
        <v>4.92</v>
      </c>
      <c r="P91" s="96">
        <v>4.8899999999999997</v>
      </c>
    </row>
    <row r="92" spans="2:16" ht="15" thickBot="1" x14ac:dyDescent="0.4">
      <c r="B92" s="95">
        <v>45790</v>
      </c>
      <c r="C92" s="96">
        <v>4.3899999999999997</v>
      </c>
      <c r="D92" s="96">
        <v>4.38</v>
      </c>
      <c r="E92" s="96">
        <v>4.3499999999999996</v>
      </c>
      <c r="F92" s="96">
        <v>4.41</v>
      </c>
      <c r="G92" s="96">
        <v>4.45</v>
      </c>
      <c r="H92" s="96">
        <v>4.29</v>
      </c>
      <c r="I92" s="96">
        <v>4.1100000000000003</v>
      </c>
      <c r="J92" s="96">
        <v>4.0199999999999996</v>
      </c>
      <c r="K92" s="96">
        <v>4</v>
      </c>
      <c r="L92" s="96">
        <v>4.12</v>
      </c>
      <c r="M92" s="96">
        <v>4.3</v>
      </c>
      <c r="N92" s="96">
        <v>4.49</v>
      </c>
      <c r="O92" s="96">
        <v>4.97</v>
      </c>
      <c r="P92" s="96">
        <v>4.9400000000000004</v>
      </c>
    </row>
    <row r="93" spans="2:16" ht="15" thickBot="1" x14ac:dyDescent="0.4">
      <c r="B93" s="95">
        <v>45791</v>
      </c>
      <c r="C93" s="96">
        <v>4.3899999999999997</v>
      </c>
      <c r="D93" s="96">
        <v>4.38</v>
      </c>
      <c r="E93" s="96">
        <v>4.3600000000000003</v>
      </c>
      <c r="F93" s="96">
        <v>4.41</v>
      </c>
      <c r="G93" s="96">
        <v>4.4400000000000004</v>
      </c>
      <c r="H93" s="96">
        <v>4.3</v>
      </c>
      <c r="I93" s="96">
        <v>4.1399999999999997</v>
      </c>
      <c r="J93" s="96">
        <v>4.05</v>
      </c>
      <c r="K93" s="96">
        <v>4.05</v>
      </c>
      <c r="L93" s="96">
        <v>4.17</v>
      </c>
      <c r="M93" s="96">
        <v>4.3499999999999996</v>
      </c>
      <c r="N93" s="96">
        <v>4.53</v>
      </c>
      <c r="O93" s="96">
        <v>5</v>
      </c>
      <c r="P93" s="96">
        <v>4.97</v>
      </c>
    </row>
    <row r="94" spans="2:16" ht="15" thickBot="1" x14ac:dyDescent="0.4">
      <c r="B94" s="95">
        <v>45792</v>
      </c>
      <c r="C94" s="96">
        <v>4.37</v>
      </c>
      <c r="D94" s="96">
        <v>4.38</v>
      </c>
      <c r="E94" s="96">
        <v>4.3499999999999996</v>
      </c>
      <c r="F94" s="96">
        <v>4.38</v>
      </c>
      <c r="G94" s="96">
        <v>4.43</v>
      </c>
      <c r="H94" s="96">
        <v>4.29</v>
      </c>
      <c r="I94" s="96">
        <v>4.0999999999999996</v>
      </c>
      <c r="J94" s="96">
        <v>3.96</v>
      </c>
      <c r="K94" s="96">
        <v>3.95</v>
      </c>
      <c r="L94" s="96">
        <v>4.07</v>
      </c>
      <c r="M94" s="96">
        <v>4.25</v>
      </c>
      <c r="N94" s="96">
        <v>4.45</v>
      </c>
      <c r="O94" s="96">
        <v>4.93</v>
      </c>
      <c r="P94" s="96">
        <v>4.91</v>
      </c>
    </row>
    <row r="95" spans="2:16" ht="15" thickBot="1" x14ac:dyDescent="0.4">
      <c r="B95" s="95">
        <v>45793</v>
      </c>
      <c r="C95" s="96">
        <v>4.37</v>
      </c>
      <c r="D95" s="96">
        <v>4.3600000000000003</v>
      </c>
      <c r="E95" s="96">
        <v>4.34</v>
      </c>
      <c r="F95" s="96">
        <v>4.37</v>
      </c>
      <c r="G95" s="96">
        <v>4.42</v>
      </c>
      <c r="H95" s="96">
        <v>4.3</v>
      </c>
      <c r="I95" s="96">
        <v>4.13</v>
      </c>
      <c r="J95" s="96">
        <v>3.98</v>
      </c>
      <c r="K95" s="96">
        <v>3.95</v>
      </c>
      <c r="L95" s="96">
        <v>4.0599999999999996</v>
      </c>
      <c r="M95" s="96">
        <v>4.24</v>
      </c>
      <c r="N95" s="96">
        <v>4.43</v>
      </c>
      <c r="O95" s="96">
        <v>4.92</v>
      </c>
      <c r="P95" s="96">
        <v>4.8899999999999997</v>
      </c>
    </row>
    <row r="96" spans="2:16" ht="15" thickBot="1" x14ac:dyDescent="0.4">
      <c r="B96" s="95">
        <v>45796</v>
      </c>
      <c r="C96" s="96">
        <v>4.37</v>
      </c>
      <c r="D96" s="96">
        <v>4.3600000000000003</v>
      </c>
      <c r="E96" s="96">
        <v>4.3499999999999996</v>
      </c>
      <c r="F96" s="96">
        <v>4.3899999999999997</v>
      </c>
      <c r="G96" s="96">
        <v>4.42</v>
      </c>
      <c r="H96" s="96">
        <v>4.32</v>
      </c>
      <c r="I96" s="96">
        <v>4.12</v>
      </c>
      <c r="J96" s="96">
        <v>3.97</v>
      </c>
      <c r="K96" s="96">
        <v>3.95</v>
      </c>
      <c r="L96" s="96">
        <v>4.07</v>
      </c>
      <c r="M96" s="96">
        <v>4.26</v>
      </c>
      <c r="N96" s="96">
        <v>4.46</v>
      </c>
      <c r="O96" s="96">
        <v>4.95</v>
      </c>
      <c r="P96" s="96">
        <v>4.92</v>
      </c>
    </row>
    <row r="97" spans="2:16" ht="15" thickBot="1" x14ac:dyDescent="0.4">
      <c r="B97" s="95">
        <v>45797</v>
      </c>
      <c r="C97" s="96">
        <v>4.3600000000000003</v>
      </c>
      <c r="D97" s="96">
        <v>4.3499999999999996</v>
      </c>
      <c r="E97" s="96">
        <v>4.34</v>
      </c>
      <c r="F97" s="96">
        <v>4.38</v>
      </c>
      <c r="G97" s="96">
        <v>4.42</v>
      </c>
      <c r="H97" s="96">
        <v>4.32</v>
      </c>
      <c r="I97" s="96">
        <v>4.12</v>
      </c>
      <c r="J97" s="96">
        <v>3.97</v>
      </c>
      <c r="K97" s="96">
        <v>3.95</v>
      </c>
      <c r="L97" s="96">
        <v>4.07</v>
      </c>
      <c r="M97" s="96">
        <v>4.2699999999999996</v>
      </c>
      <c r="N97" s="96">
        <v>4.4800000000000004</v>
      </c>
      <c r="O97" s="96">
        <v>4.99</v>
      </c>
      <c r="P97" s="96">
        <v>4.96</v>
      </c>
    </row>
    <row r="98" spans="2:16" ht="15" thickBot="1" x14ac:dyDescent="0.4">
      <c r="B98" s="95">
        <v>45798</v>
      </c>
      <c r="C98" s="96">
        <v>4.3499999999999996</v>
      </c>
      <c r="D98" s="96">
        <v>4.34</v>
      </c>
      <c r="E98" s="96">
        <v>4.34</v>
      </c>
      <c r="F98" s="96">
        <v>4.3600000000000003</v>
      </c>
      <c r="G98" s="96">
        <v>4.42</v>
      </c>
      <c r="H98" s="96">
        <v>4.33</v>
      </c>
      <c r="I98" s="96">
        <v>4.13</v>
      </c>
      <c r="J98" s="96">
        <v>4</v>
      </c>
      <c r="K98" s="96">
        <v>4</v>
      </c>
      <c r="L98" s="96">
        <v>4.1500000000000004</v>
      </c>
      <c r="M98" s="96">
        <v>4.37</v>
      </c>
      <c r="N98" s="96">
        <v>4.58</v>
      </c>
      <c r="O98" s="96">
        <v>5.08</v>
      </c>
      <c r="P98" s="96">
        <v>5.08</v>
      </c>
    </row>
    <row r="99" spans="2:16" ht="15" thickBot="1" x14ac:dyDescent="0.4">
      <c r="B99" s="95">
        <v>45799</v>
      </c>
      <c r="C99" s="96">
        <v>4.37</v>
      </c>
      <c r="D99" s="96">
        <v>4.34</v>
      </c>
      <c r="E99" s="96">
        <v>4.3499999999999996</v>
      </c>
      <c r="F99" s="96">
        <v>4.37</v>
      </c>
      <c r="G99" s="96">
        <v>4.42</v>
      </c>
      <c r="H99" s="96">
        <v>4.34</v>
      </c>
      <c r="I99" s="96">
        <v>4.13</v>
      </c>
      <c r="J99" s="96">
        <v>4</v>
      </c>
      <c r="K99" s="96">
        <v>3.99</v>
      </c>
      <c r="L99" s="96">
        <v>4.1100000000000003</v>
      </c>
      <c r="M99" s="96">
        <v>4.32</v>
      </c>
      <c r="N99" s="96">
        <v>4.54</v>
      </c>
      <c r="O99" s="96">
        <v>5.05</v>
      </c>
      <c r="P99" s="96">
        <v>5.05</v>
      </c>
    </row>
    <row r="100" spans="2:16" ht="15" thickBot="1" x14ac:dyDescent="0.4">
      <c r="B100" s="95">
        <v>45800</v>
      </c>
      <c r="C100" s="96">
        <v>4.3600000000000003</v>
      </c>
      <c r="D100" s="96">
        <v>4.34</v>
      </c>
      <c r="E100" s="96">
        <v>4.3499999999999996</v>
      </c>
      <c r="F100" s="96">
        <v>4.3600000000000003</v>
      </c>
      <c r="G100" s="96">
        <v>4.43</v>
      </c>
      <c r="H100" s="96">
        <v>4.3499999999999996</v>
      </c>
      <c r="I100" s="96">
        <v>4.1500000000000004</v>
      </c>
      <c r="J100" s="96">
        <v>4</v>
      </c>
      <c r="K100" s="96">
        <v>3.96</v>
      </c>
      <c r="L100" s="96">
        <v>4.08</v>
      </c>
      <c r="M100" s="96">
        <v>4.29</v>
      </c>
      <c r="N100" s="96">
        <v>4.51</v>
      </c>
      <c r="O100" s="96">
        <v>5.03</v>
      </c>
      <c r="P100" s="96">
        <v>5.04</v>
      </c>
    </row>
    <row r="101" spans="2:16" ht="15" thickBot="1" x14ac:dyDescent="0.4">
      <c r="B101" s="95">
        <v>45804</v>
      </c>
      <c r="C101" s="96">
        <v>4.3499999999999996</v>
      </c>
      <c r="D101" s="96">
        <v>4.3499999999999996</v>
      </c>
      <c r="E101" s="96">
        <v>4.3499999999999996</v>
      </c>
      <c r="F101" s="96">
        <v>4.3499999999999996</v>
      </c>
      <c r="G101" s="96">
        <v>4.43</v>
      </c>
      <c r="H101" s="96">
        <v>4.3499999999999996</v>
      </c>
      <c r="I101" s="96">
        <v>4.1399999999999997</v>
      </c>
      <c r="J101" s="96">
        <v>3.92</v>
      </c>
      <c r="K101" s="96">
        <v>3.93</v>
      </c>
      <c r="L101" s="96">
        <v>4.04</v>
      </c>
      <c r="M101" s="96">
        <v>4.22</v>
      </c>
      <c r="N101" s="96">
        <v>4.43</v>
      </c>
      <c r="O101" s="96">
        <v>4.95</v>
      </c>
      <c r="P101" s="96">
        <v>4.9400000000000004</v>
      </c>
    </row>
    <row r="102" spans="2:16" ht="15" thickBot="1" x14ac:dyDescent="0.4">
      <c r="B102" s="95">
        <v>45805</v>
      </c>
      <c r="C102" s="96">
        <v>4.3499999999999996</v>
      </c>
      <c r="D102" s="96">
        <v>4.3499999999999996</v>
      </c>
      <c r="E102" s="96">
        <v>4.3499999999999996</v>
      </c>
      <c r="F102" s="96">
        <v>4.3499999999999996</v>
      </c>
      <c r="G102" s="96">
        <v>4.38</v>
      </c>
      <c r="H102" s="96">
        <v>4.3600000000000003</v>
      </c>
      <c r="I102" s="96">
        <v>4.16</v>
      </c>
      <c r="J102" s="96">
        <v>3.96</v>
      </c>
      <c r="K102" s="96">
        <v>3.95</v>
      </c>
      <c r="L102" s="96">
        <v>4.05</v>
      </c>
      <c r="M102" s="96">
        <v>4.2699999999999996</v>
      </c>
      <c r="N102" s="96">
        <v>4.47</v>
      </c>
      <c r="O102" s="96">
        <v>4.99</v>
      </c>
      <c r="P102" s="96">
        <v>4.97</v>
      </c>
    </row>
    <row r="103" spans="2:16" ht="15" thickBot="1" x14ac:dyDescent="0.4">
      <c r="B103" s="95">
        <v>45806</v>
      </c>
      <c r="C103" s="96">
        <v>4.34</v>
      </c>
      <c r="D103" s="96">
        <v>4.34</v>
      </c>
      <c r="E103" s="96">
        <v>4.3499999999999996</v>
      </c>
      <c r="F103" s="96">
        <v>4.3600000000000003</v>
      </c>
      <c r="G103" s="96">
        <v>4.3899999999999997</v>
      </c>
      <c r="H103" s="96">
        <v>4.3600000000000003</v>
      </c>
      <c r="I103" s="96">
        <v>4.13</v>
      </c>
      <c r="J103" s="96">
        <v>3.92</v>
      </c>
      <c r="K103" s="96">
        <v>3.91</v>
      </c>
      <c r="L103" s="96">
        <v>4</v>
      </c>
      <c r="M103" s="96">
        <v>4.2</v>
      </c>
      <c r="N103" s="96">
        <v>4.43</v>
      </c>
      <c r="O103" s="96">
        <v>4.9400000000000004</v>
      </c>
      <c r="P103" s="96">
        <v>4.92</v>
      </c>
    </row>
    <row r="104" spans="2:16" ht="15" thickBot="1" x14ac:dyDescent="0.4">
      <c r="B104" s="95">
        <v>45807</v>
      </c>
      <c r="C104" s="96">
        <v>4.33</v>
      </c>
      <c r="D104" s="96">
        <v>4.3499999999999996</v>
      </c>
      <c r="E104" s="96">
        <v>4.3499999999999996</v>
      </c>
      <c r="F104" s="96">
        <v>4.3600000000000003</v>
      </c>
      <c r="G104" s="96">
        <v>4.3899999999999997</v>
      </c>
      <c r="H104" s="96">
        <v>4.3600000000000003</v>
      </c>
      <c r="I104" s="96">
        <v>4.1100000000000003</v>
      </c>
      <c r="J104" s="96">
        <v>3.89</v>
      </c>
      <c r="K104" s="96">
        <v>3.87</v>
      </c>
      <c r="L104" s="96">
        <v>3.96</v>
      </c>
      <c r="M104" s="96">
        <v>4.18</v>
      </c>
      <c r="N104" s="96">
        <v>4.41</v>
      </c>
      <c r="O104" s="96">
        <v>4.93</v>
      </c>
      <c r="P104" s="96">
        <v>4.92</v>
      </c>
    </row>
    <row r="105" spans="2:16" ht="15" thickBot="1" x14ac:dyDescent="0.4">
      <c r="B105" s="95">
        <v>45810</v>
      </c>
      <c r="C105" s="96">
        <v>4.33</v>
      </c>
      <c r="D105" s="96">
        <v>4.33</v>
      </c>
      <c r="E105" s="96">
        <v>4.3600000000000003</v>
      </c>
      <c r="F105" s="96">
        <v>4.4400000000000004</v>
      </c>
      <c r="G105" s="96">
        <v>4.38</v>
      </c>
      <c r="H105" s="96">
        <v>4.3099999999999996</v>
      </c>
      <c r="I105" s="96">
        <v>4.12</v>
      </c>
      <c r="J105" s="96">
        <v>3.94</v>
      </c>
      <c r="K105" s="96">
        <v>3.91</v>
      </c>
      <c r="L105" s="96">
        <v>4.01</v>
      </c>
      <c r="M105" s="96">
        <v>4.22</v>
      </c>
      <c r="N105" s="96">
        <v>4.46</v>
      </c>
      <c r="O105" s="96">
        <v>5</v>
      </c>
      <c r="P105" s="96">
        <v>4.99</v>
      </c>
    </row>
    <row r="106" spans="2:16" ht="15" thickBot="1" x14ac:dyDescent="0.4">
      <c r="B106" s="95">
        <v>45811</v>
      </c>
      <c r="C106" s="96">
        <v>4.33</v>
      </c>
      <c r="D106" s="96">
        <v>4.34</v>
      </c>
      <c r="E106" s="96">
        <v>4.3499999999999996</v>
      </c>
      <c r="F106" s="96">
        <v>4.43</v>
      </c>
      <c r="G106" s="96">
        <v>4.38</v>
      </c>
      <c r="H106" s="96">
        <v>4.3099999999999996</v>
      </c>
      <c r="I106" s="96">
        <v>4.12</v>
      </c>
      <c r="J106" s="96">
        <v>3.96</v>
      </c>
      <c r="K106" s="96">
        <v>3.93</v>
      </c>
      <c r="L106" s="96">
        <v>4.04</v>
      </c>
      <c r="M106" s="96">
        <v>4.2300000000000004</v>
      </c>
      <c r="N106" s="96">
        <v>4.46</v>
      </c>
      <c r="O106" s="96">
        <v>5</v>
      </c>
      <c r="P106" s="96">
        <v>4.9800000000000004</v>
      </c>
    </row>
    <row r="107" spans="2:16" ht="15" thickBot="1" x14ac:dyDescent="0.4">
      <c r="B107" s="95">
        <v>45812</v>
      </c>
      <c r="C107" s="96">
        <v>4.32</v>
      </c>
      <c r="D107" s="96">
        <v>4.34</v>
      </c>
      <c r="E107" s="96">
        <v>4.3499999999999996</v>
      </c>
      <c r="F107" s="96">
        <v>4.4400000000000004</v>
      </c>
      <c r="G107" s="96">
        <v>4.37</v>
      </c>
      <c r="H107" s="96">
        <v>4.29</v>
      </c>
      <c r="I107" s="96">
        <v>4.0599999999999996</v>
      </c>
      <c r="J107" s="96">
        <v>3.87</v>
      </c>
      <c r="K107" s="96">
        <v>3.84</v>
      </c>
      <c r="L107" s="96">
        <v>3.93</v>
      </c>
      <c r="M107" s="96">
        <v>4.1399999999999997</v>
      </c>
      <c r="N107" s="96">
        <v>4.37</v>
      </c>
      <c r="O107" s="96">
        <v>4.9000000000000004</v>
      </c>
      <c r="P107" s="96">
        <v>4.8899999999999997</v>
      </c>
    </row>
    <row r="108" spans="2:16" ht="15" thickBot="1" x14ac:dyDescent="0.4">
      <c r="B108" s="95">
        <v>45813</v>
      </c>
      <c r="C108" s="96">
        <v>4.26</v>
      </c>
      <c r="D108" s="96">
        <v>4.33</v>
      </c>
      <c r="E108" s="96">
        <v>4.3499999999999996</v>
      </c>
      <c r="F108" s="96">
        <v>4.4400000000000004</v>
      </c>
      <c r="G108" s="96">
        <v>4.37</v>
      </c>
      <c r="H108" s="96">
        <v>4.29</v>
      </c>
      <c r="I108" s="96">
        <v>4.08</v>
      </c>
      <c r="J108" s="96">
        <v>3.92</v>
      </c>
      <c r="K108" s="96">
        <v>3.9</v>
      </c>
      <c r="L108" s="96">
        <v>3.99</v>
      </c>
      <c r="M108" s="96">
        <v>4.18</v>
      </c>
      <c r="N108" s="96">
        <v>4.4000000000000004</v>
      </c>
      <c r="O108" s="96">
        <v>4.9000000000000004</v>
      </c>
      <c r="P108" s="96">
        <v>4.88</v>
      </c>
    </row>
    <row r="109" spans="2:16" ht="15" thickBot="1" x14ac:dyDescent="0.4">
      <c r="B109" s="95">
        <v>45814</v>
      </c>
      <c r="C109" s="96">
        <v>4.28</v>
      </c>
      <c r="D109" s="96">
        <v>4.3099999999999996</v>
      </c>
      <c r="E109" s="96">
        <v>4.3499999999999996</v>
      </c>
      <c r="F109" s="96">
        <v>4.43</v>
      </c>
      <c r="G109" s="96">
        <v>4.38</v>
      </c>
      <c r="H109" s="96">
        <v>4.3099999999999996</v>
      </c>
      <c r="I109" s="96">
        <v>4.1399999999999997</v>
      </c>
      <c r="J109" s="96">
        <v>4.04</v>
      </c>
      <c r="K109" s="96">
        <v>4.0199999999999996</v>
      </c>
      <c r="L109" s="96">
        <v>4.13</v>
      </c>
      <c r="M109" s="96">
        <v>4.3099999999999996</v>
      </c>
      <c r="N109" s="96">
        <v>4.51</v>
      </c>
      <c r="O109" s="96">
        <v>4.99</v>
      </c>
      <c r="P109" s="96">
        <v>4.97</v>
      </c>
    </row>
    <row r="110" spans="2:16" ht="15" thickBot="1" x14ac:dyDescent="0.4">
      <c r="B110" s="95">
        <v>45817</v>
      </c>
      <c r="C110" s="96">
        <v>4.29</v>
      </c>
      <c r="D110" s="96">
        <v>4.32</v>
      </c>
      <c r="E110" s="96">
        <v>4.3600000000000003</v>
      </c>
      <c r="F110" s="96">
        <v>4.4400000000000004</v>
      </c>
      <c r="G110" s="96">
        <v>4.38</v>
      </c>
      <c r="H110" s="96">
        <v>4.32</v>
      </c>
      <c r="I110" s="96">
        <v>4.13</v>
      </c>
      <c r="J110" s="96">
        <v>4.01</v>
      </c>
      <c r="K110" s="96">
        <v>3.99</v>
      </c>
      <c r="L110" s="96">
        <v>4.09</v>
      </c>
      <c r="M110" s="96">
        <v>4.28</v>
      </c>
      <c r="N110" s="96">
        <v>4.49</v>
      </c>
      <c r="O110" s="96">
        <v>4.9800000000000004</v>
      </c>
      <c r="P110" s="96">
        <v>4.95</v>
      </c>
    </row>
    <row r="111" spans="2:16" ht="15" thickBot="1" x14ac:dyDescent="0.4">
      <c r="B111" s="95">
        <v>45818</v>
      </c>
      <c r="C111" s="96">
        <v>4.29</v>
      </c>
      <c r="D111" s="96">
        <v>4.3099999999999996</v>
      </c>
      <c r="E111" s="96">
        <v>4.37</v>
      </c>
      <c r="F111" s="96">
        <v>4.45</v>
      </c>
      <c r="G111" s="96">
        <v>4.38</v>
      </c>
      <c r="H111" s="96">
        <v>4.32</v>
      </c>
      <c r="I111" s="96">
        <v>4.12</v>
      </c>
      <c r="J111" s="96">
        <v>4.01</v>
      </c>
      <c r="K111" s="96">
        <v>3.95</v>
      </c>
      <c r="L111" s="96">
        <v>4.08</v>
      </c>
      <c r="M111" s="96">
        <v>4.2699999999999996</v>
      </c>
      <c r="N111" s="96">
        <v>4.47</v>
      </c>
      <c r="O111" s="96">
        <v>4.96</v>
      </c>
      <c r="P111" s="96">
        <v>4.93</v>
      </c>
    </row>
    <row r="112" spans="2:16" ht="15" thickBot="1" x14ac:dyDescent="0.4">
      <c r="B112" s="95">
        <v>45819</v>
      </c>
      <c r="C112" s="96">
        <v>4.3</v>
      </c>
      <c r="D112" s="96">
        <v>4.32</v>
      </c>
      <c r="E112" s="96">
        <v>4.3899999999999997</v>
      </c>
      <c r="F112" s="96">
        <v>4.45</v>
      </c>
      <c r="G112" s="96">
        <v>4.3899999999999997</v>
      </c>
      <c r="H112" s="96">
        <v>4.3099999999999996</v>
      </c>
      <c r="I112" s="96">
        <v>4.08</v>
      </c>
      <c r="J112" s="96">
        <v>3.94</v>
      </c>
      <c r="K112" s="96">
        <v>3.89</v>
      </c>
      <c r="L112" s="96">
        <v>4.0199999999999996</v>
      </c>
      <c r="M112" s="96">
        <v>4.21</v>
      </c>
      <c r="N112" s="96">
        <v>4.41</v>
      </c>
      <c r="O112" s="96">
        <v>4.93</v>
      </c>
      <c r="P112" s="96">
        <v>4.91</v>
      </c>
    </row>
    <row r="113" spans="2:16" ht="15" thickBot="1" x14ac:dyDescent="0.4">
      <c r="B113" s="95">
        <v>45820</v>
      </c>
      <c r="C113" s="96">
        <v>4.18</v>
      </c>
      <c r="D113" s="96">
        <v>4.3</v>
      </c>
      <c r="E113" s="96">
        <v>4.49</v>
      </c>
      <c r="F113" s="96">
        <v>4.46</v>
      </c>
      <c r="G113" s="96">
        <v>4.4000000000000004</v>
      </c>
      <c r="H113" s="96">
        <v>4.29</v>
      </c>
      <c r="I113" s="96">
        <v>4.0599999999999996</v>
      </c>
      <c r="J113" s="96">
        <v>3.9</v>
      </c>
      <c r="K113" s="96">
        <v>3.85</v>
      </c>
      <c r="L113" s="96">
        <v>3.97</v>
      </c>
      <c r="M113" s="96">
        <v>4.1500000000000004</v>
      </c>
      <c r="N113" s="96">
        <v>4.3600000000000003</v>
      </c>
      <c r="O113" s="96">
        <v>4.8600000000000003</v>
      </c>
      <c r="P113" s="96">
        <v>4.84</v>
      </c>
    </row>
    <row r="114" spans="2:16" ht="15" thickBot="1" x14ac:dyDescent="0.4">
      <c r="B114" s="95">
        <v>45821</v>
      </c>
      <c r="C114" s="96">
        <v>4.2300000000000004</v>
      </c>
      <c r="D114" s="96">
        <v>4.32</v>
      </c>
      <c r="E114" s="96">
        <v>4.4800000000000004</v>
      </c>
      <c r="F114" s="96">
        <v>4.45</v>
      </c>
      <c r="G114" s="96">
        <v>4.4000000000000004</v>
      </c>
      <c r="H114" s="96">
        <v>4.3</v>
      </c>
      <c r="I114" s="96">
        <v>4.09</v>
      </c>
      <c r="J114" s="96">
        <v>3.96</v>
      </c>
      <c r="K114" s="96">
        <v>3.9</v>
      </c>
      <c r="L114" s="96">
        <v>4.0199999999999996</v>
      </c>
      <c r="M114" s="96">
        <v>4.2</v>
      </c>
      <c r="N114" s="96">
        <v>4.41</v>
      </c>
      <c r="O114" s="96">
        <v>4.93</v>
      </c>
      <c r="P114" s="96">
        <v>4.9000000000000004</v>
      </c>
    </row>
    <row r="115" spans="2:16" ht="15" thickBot="1" x14ac:dyDescent="0.4">
      <c r="B115" s="95">
        <v>45824</v>
      </c>
      <c r="C115" s="96">
        <v>4.24</v>
      </c>
      <c r="D115" s="96">
        <v>4.3600000000000003</v>
      </c>
      <c r="E115" s="96">
        <v>4.47</v>
      </c>
      <c r="F115" s="96">
        <v>4.43</v>
      </c>
      <c r="G115" s="96">
        <v>4.4000000000000004</v>
      </c>
      <c r="H115" s="96">
        <v>4.32</v>
      </c>
      <c r="I115" s="96">
        <v>4.0999999999999996</v>
      </c>
      <c r="J115" s="96">
        <v>3.97</v>
      </c>
      <c r="K115" s="96">
        <v>3.93</v>
      </c>
      <c r="L115" s="96">
        <v>4.04</v>
      </c>
      <c r="M115" s="96">
        <v>4.2300000000000004</v>
      </c>
      <c r="N115" s="96">
        <v>4.46</v>
      </c>
      <c r="O115" s="96">
        <v>4.97</v>
      </c>
      <c r="P115" s="96">
        <v>4.96</v>
      </c>
    </row>
    <row r="116" spans="2:16" ht="15" thickBot="1" x14ac:dyDescent="0.4">
      <c r="B116" s="95">
        <v>45825</v>
      </c>
      <c r="C116" s="96">
        <v>4.2300000000000004</v>
      </c>
      <c r="D116" s="96">
        <v>4.3099999999999996</v>
      </c>
      <c r="E116" s="96">
        <v>4.46</v>
      </c>
      <c r="F116" s="96">
        <v>4.42</v>
      </c>
      <c r="G116" s="96">
        <v>4.3899999999999997</v>
      </c>
      <c r="H116" s="96">
        <v>4.3099999999999996</v>
      </c>
      <c r="I116" s="96">
        <v>4.0999999999999996</v>
      </c>
      <c r="J116" s="96">
        <v>3.94</v>
      </c>
      <c r="K116" s="96">
        <v>3.9</v>
      </c>
      <c r="L116" s="96">
        <v>3.99</v>
      </c>
      <c r="M116" s="96">
        <v>4.17</v>
      </c>
      <c r="N116" s="96">
        <v>4.3899999999999997</v>
      </c>
      <c r="O116" s="96">
        <v>4.8899999999999997</v>
      </c>
      <c r="P116" s="96">
        <v>4.88</v>
      </c>
    </row>
    <row r="117" spans="2:16" ht="15" thickBot="1" x14ac:dyDescent="0.4">
      <c r="B117" s="95">
        <v>45826</v>
      </c>
      <c r="C117" s="96">
        <v>4.2</v>
      </c>
      <c r="D117" s="96">
        <v>4.3600000000000003</v>
      </c>
      <c r="E117" s="96">
        <v>4.58</v>
      </c>
      <c r="F117" s="96">
        <v>4.42</v>
      </c>
      <c r="G117" s="96">
        <v>4.41</v>
      </c>
      <c r="H117" s="96">
        <v>4.33</v>
      </c>
      <c r="I117" s="96">
        <v>4.0999999999999996</v>
      </c>
      <c r="J117" s="96">
        <v>3.94</v>
      </c>
      <c r="K117" s="96">
        <v>3.89</v>
      </c>
      <c r="L117" s="96">
        <v>3.98</v>
      </c>
      <c r="M117" s="96">
        <v>4.17</v>
      </c>
      <c r="N117" s="96">
        <v>4.38</v>
      </c>
      <c r="O117" s="96">
        <v>4.8899999999999997</v>
      </c>
      <c r="P117" s="96">
        <v>4.88</v>
      </c>
    </row>
    <row r="118" spans="2:16" ht="15" thickBot="1" x14ac:dyDescent="0.4">
      <c r="B118" s="95">
        <v>45828</v>
      </c>
      <c r="C118" s="96">
        <v>4.2</v>
      </c>
      <c r="D118" s="96">
        <v>4.38</v>
      </c>
      <c r="E118" s="96">
        <v>4.55</v>
      </c>
      <c r="F118" s="96">
        <v>4.3899999999999997</v>
      </c>
      <c r="G118" s="96">
        <v>4.4000000000000004</v>
      </c>
      <c r="H118" s="96">
        <v>4.29</v>
      </c>
      <c r="I118" s="96">
        <v>4.07</v>
      </c>
      <c r="J118" s="96">
        <v>3.9</v>
      </c>
      <c r="K118" s="96">
        <v>3.86</v>
      </c>
      <c r="L118" s="96">
        <v>3.96</v>
      </c>
      <c r="M118" s="96">
        <v>4.16</v>
      </c>
      <c r="N118" s="96">
        <v>4.38</v>
      </c>
      <c r="O118" s="96">
        <v>4.9000000000000004</v>
      </c>
      <c r="P118" s="96">
        <v>4.8899999999999997</v>
      </c>
    </row>
    <row r="119" spans="2:16" ht="15" thickBot="1" x14ac:dyDescent="0.4">
      <c r="B119" s="95">
        <v>45831</v>
      </c>
      <c r="C119" s="96">
        <v>4.2</v>
      </c>
      <c r="D119" s="96">
        <v>4.4000000000000004</v>
      </c>
      <c r="E119" s="96">
        <v>4.5199999999999996</v>
      </c>
      <c r="F119" s="96">
        <v>4.38</v>
      </c>
      <c r="G119" s="96">
        <v>4.37</v>
      </c>
      <c r="H119" s="96">
        <v>4.28</v>
      </c>
      <c r="I119" s="96">
        <v>4</v>
      </c>
      <c r="J119" s="96">
        <v>3.84</v>
      </c>
      <c r="K119" s="96">
        <v>3.8</v>
      </c>
      <c r="L119" s="96">
        <v>3.91</v>
      </c>
      <c r="M119" s="96">
        <v>4.0999999999999996</v>
      </c>
      <c r="N119" s="96">
        <v>4.34</v>
      </c>
      <c r="O119" s="96">
        <v>4.87</v>
      </c>
      <c r="P119" s="96">
        <v>4.87</v>
      </c>
    </row>
    <row r="120" spans="2:16" ht="15" thickBot="1" x14ac:dyDescent="0.4">
      <c r="B120" s="95">
        <v>45832</v>
      </c>
      <c r="C120" s="96">
        <v>4.21</v>
      </c>
      <c r="D120" s="96">
        <v>4.53</v>
      </c>
      <c r="E120" s="96">
        <v>4.4400000000000004</v>
      </c>
      <c r="F120" s="96">
        <v>4.38</v>
      </c>
      <c r="G120" s="96">
        <v>4.37</v>
      </c>
      <c r="H120" s="96">
        <v>4.2699999999999996</v>
      </c>
      <c r="I120" s="96">
        <v>3.99</v>
      </c>
      <c r="J120" s="96">
        <v>3.75</v>
      </c>
      <c r="K120" s="96">
        <v>3.75</v>
      </c>
      <c r="L120" s="96">
        <v>3.86</v>
      </c>
      <c r="M120" s="96">
        <v>4.0599999999999996</v>
      </c>
      <c r="N120" s="96">
        <v>4.3</v>
      </c>
      <c r="O120" s="96">
        <v>4.83</v>
      </c>
      <c r="P120" s="96">
        <v>4.83</v>
      </c>
    </row>
    <row r="121" spans="2:16" ht="15" thickBot="1" x14ac:dyDescent="0.4">
      <c r="B121" s="95">
        <v>45833</v>
      </c>
      <c r="C121" s="96">
        <v>4.21</v>
      </c>
      <c r="D121" s="96">
        <v>4.46</v>
      </c>
      <c r="E121" s="96">
        <v>4.43</v>
      </c>
      <c r="F121" s="96">
        <v>4.38</v>
      </c>
      <c r="G121" s="96">
        <v>4.3600000000000003</v>
      </c>
      <c r="H121" s="96">
        <v>4.26</v>
      </c>
      <c r="I121" s="96">
        <v>3.99</v>
      </c>
      <c r="J121" s="96">
        <v>3.74</v>
      </c>
      <c r="K121" s="96">
        <v>3.74</v>
      </c>
      <c r="L121" s="96">
        <v>3.83</v>
      </c>
      <c r="M121" s="96">
        <v>4.05</v>
      </c>
      <c r="N121" s="96">
        <v>4.29</v>
      </c>
      <c r="O121" s="96">
        <v>4.83</v>
      </c>
      <c r="P121" s="96">
        <v>4.83</v>
      </c>
    </row>
    <row r="122" spans="2:16" ht="15" thickBot="1" x14ac:dyDescent="0.4">
      <c r="B122" s="95">
        <v>45834</v>
      </c>
      <c r="C122" s="96">
        <v>4.1100000000000003</v>
      </c>
      <c r="D122" s="96">
        <v>4.47</v>
      </c>
      <c r="E122" s="96">
        <v>4.49</v>
      </c>
      <c r="F122" s="96">
        <v>4.3899999999999997</v>
      </c>
      <c r="G122" s="96">
        <v>4.3600000000000003</v>
      </c>
      <c r="H122" s="96">
        <v>4.26</v>
      </c>
      <c r="I122" s="96">
        <v>3.96</v>
      </c>
      <c r="J122" s="96">
        <v>3.7</v>
      </c>
      <c r="K122" s="96">
        <v>3.68</v>
      </c>
      <c r="L122" s="96">
        <v>3.79</v>
      </c>
      <c r="M122" s="96">
        <v>4</v>
      </c>
      <c r="N122" s="96">
        <v>4.26</v>
      </c>
      <c r="O122" s="96">
        <v>4.8099999999999996</v>
      </c>
      <c r="P122" s="96">
        <v>4.8099999999999996</v>
      </c>
    </row>
    <row r="123" spans="2:16" ht="15" thickBot="1" x14ac:dyDescent="0.4">
      <c r="B123" s="95">
        <v>45835</v>
      </c>
      <c r="C123" s="96">
        <v>4.1900000000000004</v>
      </c>
      <c r="D123" s="96">
        <v>4.43</v>
      </c>
      <c r="E123" s="96">
        <v>4.49</v>
      </c>
      <c r="F123" s="96">
        <v>4.3899999999999997</v>
      </c>
      <c r="G123" s="96">
        <v>4.3600000000000003</v>
      </c>
      <c r="H123" s="96">
        <v>4.26</v>
      </c>
      <c r="I123" s="96">
        <v>3.97</v>
      </c>
      <c r="J123" s="96">
        <v>3.73</v>
      </c>
      <c r="K123" s="96">
        <v>3.72</v>
      </c>
      <c r="L123" s="96">
        <v>3.83</v>
      </c>
      <c r="M123" s="96">
        <v>4.03</v>
      </c>
      <c r="N123" s="96">
        <v>4.29</v>
      </c>
      <c r="O123" s="96">
        <v>4.8499999999999996</v>
      </c>
      <c r="P123" s="96">
        <v>4.8499999999999996</v>
      </c>
    </row>
    <row r="124" spans="2:16" ht="15" thickBot="1" x14ac:dyDescent="0.4">
      <c r="B124" s="95">
        <v>45838</v>
      </c>
      <c r="C124" s="96">
        <v>4.28</v>
      </c>
      <c r="D124" s="96">
        <v>4.41</v>
      </c>
      <c r="E124" s="96">
        <v>4.45</v>
      </c>
      <c r="F124" s="96">
        <v>4.41</v>
      </c>
      <c r="G124" s="96">
        <v>4.3600000000000003</v>
      </c>
      <c r="H124" s="96">
        <v>4.29</v>
      </c>
      <c r="I124" s="96">
        <v>3.96</v>
      </c>
      <c r="J124" s="96">
        <v>3.72</v>
      </c>
      <c r="K124" s="96">
        <v>3.68</v>
      </c>
      <c r="L124" s="96">
        <v>3.79</v>
      </c>
      <c r="M124" s="96">
        <v>3.98</v>
      </c>
      <c r="N124" s="96">
        <v>4.24</v>
      </c>
      <c r="O124" s="96">
        <v>4.79</v>
      </c>
      <c r="P124" s="96">
        <v>4.78</v>
      </c>
    </row>
    <row r="125" spans="2:16" ht="15" thickBot="1" x14ac:dyDescent="0.4">
      <c r="B125" s="95">
        <v>45839</v>
      </c>
      <c r="C125" s="96">
        <v>4.32</v>
      </c>
      <c r="D125" s="96">
        <v>4.4400000000000004</v>
      </c>
      <c r="E125" s="96">
        <v>4.42</v>
      </c>
      <c r="F125" s="96">
        <v>4.4000000000000004</v>
      </c>
      <c r="G125" s="96">
        <v>4.3499999999999996</v>
      </c>
      <c r="H125" s="96">
        <v>4.29</v>
      </c>
      <c r="I125" s="96">
        <v>3.98</v>
      </c>
      <c r="J125" s="96">
        <v>3.78</v>
      </c>
      <c r="K125" s="96">
        <v>3.75</v>
      </c>
      <c r="L125" s="96">
        <v>3.84</v>
      </c>
      <c r="M125" s="96">
        <v>4.03</v>
      </c>
      <c r="N125" s="96">
        <v>4.26</v>
      </c>
      <c r="O125" s="96">
        <v>4.79</v>
      </c>
      <c r="P125" s="96">
        <v>4.78</v>
      </c>
    </row>
    <row r="126" spans="2:16" ht="15" thickBot="1" x14ac:dyDescent="0.4">
      <c r="B126" s="95">
        <v>45840</v>
      </c>
      <c r="C126" s="96">
        <v>4.33</v>
      </c>
      <c r="D126" s="96">
        <v>4.4400000000000004</v>
      </c>
      <c r="E126" s="96">
        <v>4.43</v>
      </c>
      <c r="F126" s="96">
        <v>4.41</v>
      </c>
      <c r="G126" s="96">
        <v>4.37</v>
      </c>
      <c r="H126" s="96">
        <v>4.28</v>
      </c>
      <c r="I126" s="96">
        <v>3.99</v>
      </c>
      <c r="J126" s="96">
        <v>3.78</v>
      </c>
      <c r="K126" s="96">
        <v>3.77</v>
      </c>
      <c r="L126" s="96">
        <v>3.87</v>
      </c>
      <c r="M126" s="96">
        <v>4.0599999999999996</v>
      </c>
      <c r="N126" s="96">
        <v>4.3</v>
      </c>
      <c r="O126" s="96">
        <v>4.84</v>
      </c>
      <c r="P126" s="96">
        <v>4.82</v>
      </c>
    </row>
    <row r="127" spans="2:16" ht="15" thickBot="1" x14ac:dyDescent="0.4">
      <c r="B127" s="95">
        <v>45841</v>
      </c>
      <c r="C127" s="96">
        <v>4.3499999999999996</v>
      </c>
      <c r="D127" s="96">
        <v>4.43</v>
      </c>
      <c r="E127" s="96">
        <v>4.5</v>
      </c>
      <c r="F127" s="96">
        <v>4.42</v>
      </c>
      <c r="G127" s="96">
        <v>4.41</v>
      </c>
      <c r="H127" s="96">
        <v>4.34</v>
      </c>
      <c r="I127" s="96">
        <v>4.07</v>
      </c>
      <c r="J127" s="96">
        <v>3.88</v>
      </c>
      <c r="K127" s="96">
        <v>3.84</v>
      </c>
      <c r="L127" s="96">
        <v>3.94</v>
      </c>
      <c r="M127" s="96">
        <v>4.12</v>
      </c>
      <c r="N127" s="96">
        <v>4.3499999999999996</v>
      </c>
      <c r="O127" s="96">
        <v>4.87</v>
      </c>
      <c r="P127" s="96">
        <v>4.8600000000000003</v>
      </c>
    </row>
    <row r="128" spans="2:16" ht="15" thickBot="1" x14ac:dyDescent="0.4">
      <c r="B128" s="95">
        <v>45845</v>
      </c>
      <c r="C128" s="96">
        <v>4.37</v>
      </c>
      <c r="D128" s="96">
        <v>4.43</v>
      </c>
      <c r="E128" s="96">
        <v>4.45</v>
      </c>
      <c r="F128" s="96">
        <v>4.42</v>
      </c>
      <c r="G128" s="96">
        <v>4.41</v>
      </c>
      <c r="H128" s="96">
        <v>4.33</v>
      </c>
      <c r="I128" s="102">
        <v>4.08</v>
      </c>
      <c r="J128" s="102">
        <v>3.9</v>
      </c>
      <c r="K128" s="102">
        <v>3.85</v>
      </c>
      <c r="L128" s="102">
        <v>3.96</v>
      </c>
      <c r="M128" s="102">
        <v>4.16</v>
      </c>
      <c r="N128" s="102">
        <v>4.4000000000000004</v>
      </c>
      <c r="O128" s="102">
        <v>4.93</v>
      </c>
      <c r="P128" s="102">
        <v>4.92</v>
      </c>
    </row>
  </sheetData>
  <autoFilter ref="B1:P133" xr:uid="{A86E7E81-B26D-4397-A2CB-472F579DE03D}"/>
  <hyperlinks>
    <hyperlink ref="Z1" r:id="rId1" xr:uid="{E941D7F0-734F-46E2-8CCC-73085E15E22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3347-F5C7-4823-8E48-6923668F8699}">
  <sheetPr codeName="Sheet7"/>
  <dimension ref="B1:K52"/>
  <sheetViews>
    <sheetView zoomScale="85" zoomScaleNormal="85" workbookViewId="0">
      <selection activeCell="C7" sqref="C7"/>
    </sheetView>
  </sheetViews>
  <sheetFormatPr defaultRowHeight="14.5" x14ac:dyDescent="0.35"/>
  <cols>
    <col min="1" max="1" width="8.7265625" style="1"/>
    <col min="2" max="2" width="34" style="1" bestFit="1" customWidth="1"/>
    <col min="3" max="3" width="15.6328125" style="1" customWidth="1"/>
    <col min="4" max="4" width="21.26953125" style="1" bestFit="1" customWidth="1"/>
    <col min="5" max="5" width="22.7265625" style="1" customWidth="1"/>
    <col min="6" max="6" width="17.54296875" style="1" customWidth="1"/>
    <col min="7" max="7" width="14.453125" style="1" customWidth="1"/>
    <col min="8" max="8" width="14.6328125" style="1" customWidth="1"/>
    <col min="9" max="9" width="20.1796875" style="1" customWidth="1"/>
    <col min="10" max="10" width="14.81640625" style="1" bestFit="1" customWidth="1"/>
    <col min="11" max="11" width="11.08984375" style="1" bestFit="1" customWidth="1"/>
    <col min="12" max="16384" width="8.7265625" style="1"/>
  </cols>
  <sheetData>
    <row r="1" spans="2:11" x14ac:dyDescent="0.35">
      <c r="B1" s="1" t="s">
        <v>39</v>
      </c>
    </row>
    <row r="2" spans="2:11" x14ac:dyDescent="0.35">
      <c r="B2" s="21"/>
    </row>
    <row r="3" spans="2:11" x14ac:dyDescent="0.35">
      <c r="B3" s="2" t="s">
        <v>0</v>
      </c>
      <c r="C3" s="3">
        <f>Principal!D13</f>
        <v>7.0000000000000007E-2</v>
      </c>
      <c r="D3" s="25"/>
    </row>
    <row r="4" spans="2:11" x14ac:dyDescent="0.35">
      <c r="B4" s="2" t="s">
        <v>1</v>
      </c>
      <c r="C4" s="2">
        <v>1</v>
      </c>
      <c r="D4" s="1" t="s">
        <v>37</v>
      </c>
    </row>
    <row r="5" spans="2:11" x14ac:dyDescent="0.35">
      <c r="B5" s="2" t="s">
        <v>2</v>
      </c>
      <c r="C5" s="4">
        <f>C3/C4</f>
        <v>7.0000000000000007E-2</v>
      </c>
    </row>
    <row r="6" spans="2:11" x14ac:dyDescent="0.35">
      <c r="B6" s="2" t="s">
        <v>3</v>
      </c>
      <c r="C6" s="2">
        <f>Principal!D11</f>
        <v>30</v>
      </c>
    </row>
    <row r="7" spans="2:11" x14ac:dyDescent="0.35">
      <c r="B7" s="2" t="s">
        <v>4</v>
      </c>
      <c r="C7" s="38">
        <f>Principal!D9</f>
        <v>249900</v>
      </c>
      <c r="K7" s="27"/>
    </row>
    <row r="8" spans="2:11" x14ac:dyDescent="0.35">
      <c r="B8" s="2" t="s">
        <v>15</v>
      </c>
      <c r="C8" s="6">
        <f>1/(1+C5)</f>
        <v>0.93457943925233644</v>
      </c>
    </row>
    <row r="9" spans="2:11" x14ac:dyDescent="0.35">
      <c r="B9" s="2" t="s">
        <v>47</v>
      </c>
      <c r="C9" s="7">
        <f>(1-C8^C6)/C5</f>
        <v>12.409041183505858</v>
      </c>
      <c r="D9" s="1" t="s">
        <v>7</v>
      </c>
    </row>
    <row r="10" spans="2:11" x14ac:dyDescent="0.35">
      <c r="B10" s="2" t="s">
        <v>6</v>
      </c>
      <c r="C10" s="5">
        <f>C7/C6</f>
        <v>8330</v>
      </c>
      <c r="D10" s="1" t="s">
        <v>25</v>
      </c>
    </row>
    <row r="12" spans="2:11" ht="46" customHeight="1" x14ac:dyDescent="0.35">
      <c r="B12" s="8" t="s">
        <v>28</v>
      </c>
      <c r="C12" s="9" t="s">
        <v>26</v>
      </c>
      <c r="D12" s="9" t="s">
        <v>27</v>
      </c>
      <c r="E12" s="9" t="s">
        <v>17</v>
      </c>
      <c r="F12" s="9" t="s">
        <v>34</v>
      </c>
      <c r="G12" s="9" t="s">
        <v>18</v>
      </c>
      <c r="I12" s="23" t="s">
        <v>19</v>
      </c>
      <c r="J12" s="29" t="s">
        <v>29</v>
      </c>
    </row>
    <row r="13" spans="2:11" x14ac:dyDescent="0.35">
      <c r="B13" s="10">
        <v>0</v>
      </c>
      <c r="C13" s="11">
        <v>0</v>
      </c>
      <c r="D13" s="11">
        <f>C13/12</f>
        <v>0</v>
      </c>
      <c r="E13" s="11">
        <v>0</v>
      </c>
      <c r="F13" s="11">
        <v>0</v>
      </c>
      <c r="G13" s="11">
        <f>C7</f>
        <v>249900</v>
      </c>
      <c r="I13" s="24"/>
      <c r="J13" s="11">
        <v>0</v>
      </c>
    </row>
    <row r="14" spans="2:11" x14ac:dyDescent="0.35">
      <c r="B14" s="10">
        <v>1</v>
      </c>
      <c r="C14" s="11">
        <f>E14+F14</f>
        <v>25823</v>
      </c>
      <c r="D14" s="11">
        <f>C14/12</f>
        <v>2151.9166666666665</v>
      </c>
      <c r="E14" s="11">
        <f>G13*$C$5</f>
        <v>17493</v>
      </c>
      <c r="F14" s="11">
        <f>$C$10</f>
        <v>8330</v>
      </c>
      <c r="G14" s="11">
        <f>G13-F14</f>
        <v>241570</v>
      </c>
      <c r="I14" s="24"/>
      <c r="J14" s="28">
        <f>C10*(1+(C6*C5))</f>
        <v>25823</v>
      </c>
    </row>
    <row r="15" spans="2:11" x14ac:dyDescent="0.35">
      <c r="B15" s="10">
        <v>2</v>
      </c>
      <c r="C15" s="11">
        <f t="shared" ref="C15:C43" si="0">E15+F15</f>
        <v>25239.9</v>
      </c>
      <c r="D15" s="11">
        <f t="shared" ref="D15:D43" si="1">C15/12</f>
        <v>2103.3250000000003</v>
      </c>
      <c r="E15" s="11">
        <f t="shared" ref="E15:E43" si="2">G14*$C$5</f>
        <v>16909.900000000001</v>
      </c>
      <c r="F15" s="11">
        <f t="shared" ref="F15:F43" si="3">$C$10</f>
        <v>8330</v>
      </c>
      <c r="G15" s="11">
        <f t="shared" ref="G15:G43" si="4">G14-F15</f>
        <v>233240</v>
      </c>
      <c r="I15" s="24">
        <f t="shared" ref="I15:I43" si="5">C14-C15</f>
        <v>583.09999999999854</v>
      </c>
      <c r="J15" s="28">
        <f>$J$14-((B15-1)*I15)</f>
        <v>25239.9</v>
      </c>
    </row>
    <row r="16" spans="2:11" x14ac:dyDescent="0.35">
      <c r="B16" s="10">
        <v>3</v>
      </c>
      <c r="C16" s="11">
        <f t="shared" si="0"/>
        <v>24656.800000000003</v>
      </c>
      <c r="D16" s="11">
        <f t="shared" si="1"/>
        <v>2054.7333333333336</v>
      </c>
      <c r="E16" s="11">
        <f t="shared" si="2"/>
        <v>16326.800000000001</v>
      </c>
      <c r="F16" s="11">
        <f t="shared" si="3"/>
        <v>8330</v>
      </c>
      <c r="G16" s="11">
        <f t="shared" si="4"/>
        <v>224910</v>
      </c>
      <c r="I16" s="24">
        <f t="shared" si="5"/>
        <v>583.09999999999854</v>
      </c>
      <c r="J16" s="28">
        <f t="shared" ref="J16:J43" si="6">$J$14-((B16-1)*I16)</f>
        <v>24656.800000000003</v>
      </c>
    </row>
    <row r="17" spans="2:10" x14ac:dyDescent="0.35">
      <c r="B17" s="10">
        <v>4</v>
      </c>
      <c r="C17" s="11">
        <f t="shared" si="0"/>
        <v>24073.7</v>
      </c>
      <c r="D17" s="11">
        <f t="shared" si="1"/>
        <v>2006.1416666666667</v>
      </c>
      <c r="E17" s="11">
        <f t="shared" si="2"/>
        <v>15743.7</v>
      </c>
      <c r="F17" s="11">
        <f t="shared" si="3"/>
        <v>8330</v>
      </c>
      <c r="G17" s="11">
        <f t="shared" si="4"/>
        <v>216580</v>
      </c>
      <c r="I17" s="24">
        <f t="shared" si="5"/>
        <v>583.10000000000218</v>
      </c>
      <c r="J17" s="28">
        <f t="shared" si="6"/>
        <v>24073.699999999993</v>
      </c>
    </row>
    <row r="18" spans="2:10" x14ac:dyDescent="0.35">
      <c r="B18" s="10">
        <v>5</v>
      </c>
      <c r="C18" s="11">
        <f t="shared" si="0"/>
        <v>23490.600000000002</v>
      </c>
      <c r="D18" s="11">
        <f t="shared" si="1"/>
        <v>1957.5500000000002</v>
      </c>
      <c r="E18" s="11">
        <f t="shared" si="2"/>
        <v>15160.600000000002</v>
      </c>
      <c r="F18" s="11">
        <f t="shared" si="3"/>
        <v>8330</v>
      </c>
      <c r="G18" s="11">
        <f t="shared" si="4"/>
        <v>208250</v>
      </c>
      <c r="I18" s="24">
        <f t="shared" si="5"/>
        <v>583.09999999999854</v>
      </c>
      <c r="J18" s="28">
        <f t="shared" si="6"/>
        <v>23490.600000000006</v>
      </c>
    </row>
    <row r="19" spans="2:10" x14ac:dyDescent="0.35">
      <c r="B19" s="10">
        <v>6</v>
      </c>
      <c r="C19" s="11">
        <f t="shared" si="0"/>
        <v>22907.5</v>
      </c>
      <c r="D19" s="11">
        <f t="shared" si="1"/>
        <v>1908.9583333333333</v>
      </c>
      <c r="E19" s="11">
        <f t="shared" si="2"/>
        <v>14577.500000000002</v>
      </c>
      <c r="F19" s="11">
        <f t="shared" si="3"/>
        <v>8330</v>
      </c>
      <c r="G19" s="11">
        <f t="shared" si="4"/>
        <v>199920</v>
      </c>
      <c r="I19" s="24">
        <f t="shared" si="5"/>
        <v>583.10000000000218</v>
      </c>
      <c r="J19" s="28">
        <f t="shared" si="6"/>
        <v>22907.499999999989</v>
      </c>
    </row>
    <row r="20" spans="2:10" x14ac:dyDescent="0.35">
      <c r="B20" s="10">
        <v>7</v>
      </c>
      <c r="C20" s="11">
        <f t="shared" si="0"/>
        <v>22324.400000000001</v>
      </c>
      <c r="D20" s="11">
        <f t="shared" si="1"/>
        <v>1860.3666666666668</v>
      </c>
      <c r="E20" s="11">
        <f t="shared" si="2"/>
        <v>13994.400000000001</v>
      </c>
      <c r="F20" s="11">
        <f t="shared" si="3"/>
        <v>8330</v>
      </c>
      <c r="G20" s="11">
        <f t="shared" si="4"/>
        <v>191590</v>
      </c>
      <c r="I20" s="24">
        <f t="shared" si="5"/>
        <v>583.09999999999854</v>
      </c>
      <c r="J20" s="28">
        <f t="shared" si="6"/>
        <v>22324.400000000009</v>
      </c>
    </row>
    <row r="21" spans="2:10" x14ac:dyDescent="0.35">
      <c r="B21" s="10">
        <v>8</v>
      </c>
      <c r="C21" s="11">
        <f t="shared" si="0"/>
        <v>21741.300000000003</v>
      </c>
      <c r="D21" s="11">
        <f t="shared" si="1"/>
        <v>1811.7750000000003</v>
      </c>
      <c r="E21" s="11">
        <f t="shared" si="2"/>
        <v>13411.300000000001</v>
      </c>
      <c r="F21" s="11">
        <f t="shared" si="3"/>
        <v>8330</v>
      </c>
      <c r="G21" s="11">
        <f t="shared" si="4"/>
        <v>183260</v>
      </c>
      <c r="I21" s="24">
        <f t="shared" si="5"/>
        <v>583.09999999999854</v>
      </c>
      <c r="J21" s="28">
        <f t="shared" si="6"/>
        <v>21741.30000000001</v>
      </c>
    </row>
    <row r="22" spans="2:10" x14ac:dyDescent="0.35">
      <c r="B22" s="10">
        <v>9</v>
      </c>
      <c r="C22" s="11">
        <f t="shared" si="0"/>
        <v>21158.2</v>
      </c>
      <c r="D22" s="11">
        <f t="shared" si="1"/>
        <v>1763.1833333333334</v>
      </c>
      <c r="E22" s="11">
        <f t="shared" si="2"/>
        <v>12828.2</v>
      </c>
      <c r="F22" s="11">
        <f t="shared" si="3"/>
        <v>8330</v>
      </c>
      <c r="G22" s="11">
        <f t="shared" si="4"/>
        <v>174930</v>
      </c>
      <c r="I22" s="24">
        <f t="shared" si="5"/>
        <v>583.10000000000218</v>
      </c>
      <c r="J22" s="28">
        <f t="shared" si="6"/>
        <v>21158.199999999983</v>
      </c>
    </row>
    <row r="23" spans="2:10" x14ac:dyDescent="0.35">
      <c r="B23" s="10">
        <v>10</v>
      </c>
      <c r="C23" s="11">
        <f t="shared" si="0"/>
        <v>20575.099999999999</v>
      </c>
      <c r="D23" s="11">
        <f t="shared" si="1"/>
        <v>1714.5916666666665</v>
      </c>
      <c r="E23" s="11">
        <f t="shared" si="2"/>
        <v>12245.1</v>
      </c>
      <c r="F23" s="11">
        <f t="shared" si="3"/>
        <v>8330</v>
      </c>
      <c r="G23" s="11">
        <f t="shared" si="4"/>
        <v>166600</v>
      </c>
      <c r="I23" s="24">
        <f t="shared" si="5"/>
        <v>583.10000000000218</v>
      </c>
      <c r="J23" s="28">
        <f t="shared" si="6"/>
        <v>20575.09999999998</v>
      </c>
    </row>
    <row r="24" spans="2:10" x14ac:dyDescent="0.35">
      <c r="B24" s="10">
        <v>11</v>
      </c>
      <c r="C24" s="11">
        <f t="shared" si="0"/>
        <v>19992</v>
      </c>
      <c r="D24" s="11">
        <f t="shared" si="1"/>
        <v>1666</v>
      </c>
      <c r="E24" s="11">
        <f t="shared" si="2"/>
        <v>11662.000000000002</v>
      </c>
      <c r="F24" s="11">
        <f t="shared" si="3"/>
        <v>8330</v>
      </c>
      <c r="G24" s="11">
        <f t="shared" si="4"/>
        <v>158270</v>
      </c>
      <c r="I24" s="24">
        <f t="shared" si="5"/>
        <v>583.09999999999854</v>
      </c>
      <c r="J24" s="28">
        <f t="shared" si="6"/>
        <v>19992.000000000015</v>
      </c>
    </row>
    <row r="25" spans="2:10" x14ac:dyDescent="0.35">
      <c r="B25" s="10">
        <v>12</v>
      </c>
      <c r="C25" s="11">
        <f t="shared" si="0"/>
        <v>19408.900000000001</v>
      </c>
      <c r="D25" s="11">
        <f t="shared" si="1"/>
        <v>1617.4083333333335</v>
      </c>
      <c r="E25" s="11">
        <f t="shared" si="2"/>
        <v>11078.900000000001</v>
      </c>
      <c r="F25" s="11">
        <f t="shared" si="3"/>
        <v>8330</v>
      </c>
      <c r="G25" s="11">
        <f t="shared" si="4"/>
        <v>149940</v>
      </c>
      <c r="I25" s="24">
        <f t="shared" si="5"/>
        <v>583.09999999999854</v>
      </c>
      <c r="J25" s="28">
        <f t="shared" si="6"/>
        <v>19408.900000000016</v>
      </c>
    </row>
    <row r="26" spans="2:10" x14ac:dyDescent="0.35">
      <c r="B26" s="10">
        <v>13</v>
      </c>
      <c r="C26" s="11">
        <f t="shared" si="0"/>
        <v>18825.800000000003</v>
      </c>
      <c r="D26" s="11">
        <f t="shared" si="1"/>
        <v>1568.8166666666668</v>
      </c>
      <c r="E26" s="11">
        <f t="shared" si="2"/>
        <v>10495.800000000001</v>
      </c>
      <c r="F26" s="11">
        <f t="shared" si="3"/>
        <v>8330</v>
      </c>
      <c r="G26" s="11">
        <f t="shared" si="4"/>
        <v>141610</v>
      </c>
      <c r="I26" s="24">
        <f t="shared" si="5"/>
        <v>583.09999999999854</v>
      </c>
      <c r="J26" s="28">
        <f t="shared" si="6"/>
        <v>18825.800000000017</v>
      </c>
    </row>
    <row r="27" spans="2:10" x14ac:dyDescent="0.35">
      <c r="B27" s="10">
        <v>14</v>
      </c>
      <c r="C27" s="11">
        <f t="shared" si="0"/>
        <v>18242.7</v>
      </c>
      <c r="D27" s="11">
        <f t="shared" si="1"/>
        <v>1520.2250000000001</v>
      </c>
      <c r="E27" s="11">
        <f t="shared" si="2"/>
        <v>9912.7000000000007</v>
      </c>
      <c r="F27" s="11">
        <f t="shared" si="3"/>
        <v>8330</v>
      </c>
      <c r="G27" s="11">
        <f t="shared" si="4"/>
        <v>133280</v>
      </c>
      <c r="I27" s="24">
        <f t="shared" si="5"/>
        <v>583.10000000000218</v>
      </c>
      <c r="J27" s="28">
        <f t="shared" si="6"/>
        <v>18242.699999999972</v>
      </c>
    </row>
    <row r="28" spans="2:10" x14ac:dyDescent="0.35">
      <c r="B28" s="10">
        <v>15</v>
      </c>
      <c r="C28" s="11">
        <f t="shared" si="0"/>
        <v>17659.599999999999</v>
      </c>
      <c r="D28" s="11">
        <f t="shared" si="1"/>
        <v>1471.6333333333332</v>
      </c>
      <c r="E28" s="11">
        <f t="shared" si="2"/>
        <v>9329.6</v>
      </c>
      <c r="F28" s="11">
        <f t="shared" si="3"/>
        <v>8330</v>
      </c>
      <c r="G28" s="11">
        <f t="shared" si="4"/>
        <v>124950</v>
      </c>
      <c r="I28" s="24">
        <f t="shared" si="5"/>
        <v>583.10000000000218</v>
      </c>
      <c r="J28" s="28">
        <f t="shared" si="6"/>
        <v>17659.599999999969</v>
      </c>
    </row>
    <row r="29" spans="2:10" x14ac:dyDescent="0.35">
      <c r="B29" s="10">
        <v>16</v>
      </c>
      <c r="C29" s="11">
        <f t="shared" si="0"/>
        <v>17076.5</v>
      </c>
      <c r="D29" s="11">
        <f t="shared" si="1"/>
        <v>1423.0416666666667</v>
      </c>
      <c r="E29" s="11">
        <f t="shared" si="2"/>
        <v>8746.5</v>
      </c>
      <c r="F29" s="11">
        <f t="shared" si="3"/>
        <v>8330</v>
      </c>
      <c r="G29" s="11">
        <f t="shared" si="4"/>
        <v>116620</v>
      </c>
      <c r="I29" s="24">
        <f t="shared" si="5"/>
        <v>583.09999999999854</v>
      </c>
      <c r="J29" s="28">
        <f t="shared" si="6"/>
        <v>17076.500000000022</v>
      </c>
    </row>
    <row r="30" spans="2:10" x14ac:dyDescent="0.35">
      <c r="B30" s="10">
        <v>17</v>
      </c>
      <c r="C30" s="11">
        <f t="shared" si="0"/>
        <v>16493.400000000001</v>
      </c>
      <c r="D30" s="11">
        <f t="shared" si="1"/>
        <v>1374.45</v>
      </c>
      <c r="E30" s="11">
        <f t="shared" si="2"/>
        <v>8163.4000000000005</v>
      </c>
      <c r="F30" s="11">
        <f t="shared" si="3"/>
        <v>8330</v>
      </c>
      <c r="G30" s="11">
        <f t="shared" si="4"/>
        <v>108290</v>
      </c>
      <c r="I30" s="24">
        <f t="shared" si="5"/>
        <v>583.09999999999854</v>
      </c>
      <c r="J30" s="28">
        <f t="shared" si="6"/>
        <v>16493.400000000023</v>
      </c>
    </row>
    <row r="31" spans="2:10" x14ac:dyDescent="0.35">
      <c r="B31" s="10">
        <v>18</v>
      </c>
      <c r="C31" s="11">
        <f t="shared" si="0"/>
        <v>15910.300000000001</v>
      </c>
      <c r="D31" s="11">
        <f t="shared" si="1"/>
        <v>1325.8583333333333</v>
      </c>
      <c r="E31" s="11">
        <f t="shared" si="2"/>
        <v>7580.3000000000011</v>
      </c>
      <c r="F31" s="11">
        <f t="shared" si="3"/>
        <v>8330</v>
      </c>
      <c r="G31" s="11">
        <f t="shared" si="4"/>
        <v>99960</v>
      </c>
      <c r="I31" s="24">
        <f t="shared" si="5"/>
        <v>583.10000000000036</v>
      </c>
      <c r="J31" s="28">
        <f t="shared" si="6"/>
        <v>15910.299999999994</v>
      </c>
    </row>
    <row r="32" spans="2:10" x14ac:dyDescent="0.35">
      <c r="B32" s="10">
        <v>19</v>
      </c>
      <c r="C32" s="11">
        <f t="shared" si="0"/>
        <v>15327.2</v>
      </c>
      <c r="D32" s="11">
        <f t="shared" si="1"/>
        <v>1277.2666666666667</v>
      </c>
      <c r="E32" s="11">
        <f t="shared" si="2"/>
        <v>6997.2000000000007</v>
      </c>
      <c r="F32" s="11">
        <f t="shared" si="3"/>
        <v>8330</v>
      </c>
      <c r="G32" s="11">
        <f t="shared" si="4"/>
        <v>91630</v>
      </c>
      <c r="I32" s="24">
        <f t="shared" si="5"/>
        <v>583.10000000000036</v>
      </c>
      <c r="J32" s="28">
        <f t="shared" si="6"/>
        <v>15327.199999999993</v>
      </c>
    </row>
    <row r="33" spans="2:10" x14ac:dyDescent="0.35">
      <c r="B33" s="10">
        <v>20</v>
      </c>
      <c r="C33" s="11">
        <f t="shared" si="0"/>
        <v>14744.1</v>
      </c>
      <c r="D33" s="11">
        <f t="shared" si="1"/>
        <v>1228.675</v>
      </c>
      <c r="E33" s="11">
        <f t="shared" si="2"/>
        <v>6414.1</v>
      </c>
      <c r="F33" s="11">
        <f t="shared" si="3"/>
        <v>8330</v>
      </c>
      <c r="G33" s="11">
        <f t="shared" si="4"/>
        <v>83300</v>
      </c>
      <c r="I33" s="24">
        <f t="shared" si="5"/>
        <v>583.10000000000036</v>
      </c>
      <c r="J33" s="28">
        <f t="shared" si="6"/>
        <v>14744.099999999993</v>
      </c>
    </row>
    <row r="34" spans="2:10" x14ac:dyDescent="0.35">
      <c r="B34" s="10">
        <v>21</v>
      </c>
      <c r="C34" s="11">
        <f t="shared" si="0"/>
        <v>14161</v>
      </c>
      <c r="D34" s="11">
        <f t="shared" si="1"/>
        <v>1180.0833333333333</v>
      </c>
      <c r="E34" s="11">
        <f t="shared" si="2"/>
        <v>5831.0000000000009</v>
      </c>
      <c r="F34" s="11">
        <f t="shared" si="3"/>
        <v>8330</v>
      </c>
      <c r="G34" s="11">
        <f t="shared" si="4"/>
        <v>74970</v>
      </c>
      <c r="I34" s="24">
        <f t="shared" si="5"/>
        <v>583.10000000000036</v>
      </c>
      <c r="J34" s="28">
        <f t="shared" si="6"/>
        <v>14160.999999999993</v>
      </c>
    </row>
    <row r="35" spans="2:10" x14ac:dyDescent="0.35">
      <c r="B35" s="10">
        <v>22</v>
      </c>
      <c r="C35" s="11">
        <f t="shared" si="0"/>
        <v>13577.900000000001</v>
      </c>
      <c r="D35" s="11">
        <f t="shared" si="1"/>
        <v>1131.4916666666668</v>
      </c>
      <c r="E35" s="11">
        <f t="shared" si="2"/>
        <v>5247.9000000000005</v>
      </c>
      <c r="F35" s="11">
        <f t="shared" si="3"/>
        <v>8330</v>
      </c>
      <c r="G35" s="11">
        <f t="shared" si="4"/>
        <v>66640</v>
      </c>
      <c r="I35" s="24">
        <f t="shared" si="5"/>
        <v>583.09999999999854</v>
      </c>
      <c r="J35" s="28">
        <f t="shared" si="6"/>
        <v>13577.900000000031</v>
      </c>
    </row>
    <row r="36" spans="2:10" x14ac:dyDescent="0.35">
      <c r="B36" s="10">
        <v>23</v>
      </c>
      <c r="C36" s="11">
        <f t="shared" si="0"/>
        <v>12994.8</v>
      </c>
      <c r="D36" s="11">
        <f t="shared" si="1"/>
        <v>1082.8999999999999</v>
      </c>
      <c r="E36" s="11">
        <f t="shared" si="2"/>
        <v>4664.8</v>
      </c>
      <c r="F36" s="11">
        <f t="shared" si="3"/>
        <v>8330</v>
      </c>
      <c r="G36" s="11">
        <f t="shared" si="4"/>
        <v>58310</v>
      </c>
      <c r="I36" s="24">
        <f t="shared" si="5"/>
        <v>583.10000000000218</v>
      </c>
      <c r="J36" s="28">
        <f t="shared" si="6"/>
        <v>12994.799999999952</v>
      </c>
    </row>
    <row r="37" spans="2:10" x14ac:dyDescent="0.35">
      <c r="B37" s="10">
        <v>24</v>
      </c>
      <c r="C37" s="11">
        <f t="shared" si="0"/>
        <v>12411.7</v>
      </c>
      <c r="D37" s="11">
        <f t="shared" si="1"/>
        <v>1034.3083333333334</v>
      </c>
      <c r="E37" s="11">
        <f t="shared" si="2"/>
        <v>4081.7000000000003</v>
      </c>
      <c r="F37" s="11">
        <f t="shared" si="3"/>
        <v>8330</v>
      </c>
      <c r="G37" s="11">
        <f t="shared" si="4"/>
        <v>49980</v>
      </c>
      <c r="I37" s="24">
        <f t="shared" si="5"/>
        <v>583.09999999999854</v>
      </c>
      <c r="J37" s="28">
        <f t="shared" si="6"/>
        <v>12411.700000000033</v>
      </c>
    </row>
    <row r="38" spans="2:10" x14ac:dyDescent="0.35">
      <c r="B38" s="10">
        <v>25</v>
      </c>
      <c r="C38" s="11">
        <f t="shared" si="0"/>
        <v>11828.6</v>
      </c>
      <c r="D38" s="11">
        <f t="shared" si="1"/>
        <v>985.7166666666667</v>
      </c>
      <c r="E38" s="11">
        <f t="shared" si="2"/>
        <v>3498.6000000000004</v>
      </c>
      <c r="F38" s="11">
        <f t="shared" si="3"/>
        <v>8330</v>
      </c>
      <c r="G38" s="11">
        <f t="shared" si="4"/>
        <v>41650</v>
      </c>
      <c r="I38" s="24">
        <f t="shared" si="5"/>
        <v>583.10000000000036</v>
      </c>
      <c r="J38" s="28">
        <f t="shared" si="6"/>
        <v>11828.599999999991</v>
      </c>
    </row>
    <row r="39" spans="2:10" x14ac:dyDescent="0.35">
      <c r="B39" s="10">
        <v>26</v>
      </c>
      <c r="C39" s="11">
        <f t="shared" si="0"/>
        <v>11245.5</v>
      </c>
      <c r="D39" s="11">
        <f t="shared" si="1"/>
        <v>937.125</v>
      </c>
      <c r="E39" s="11">
        <f t="shared" si="2"/>
        <v>2915.5000000000005</v>
      </c>
      <c r="F39" s="11">
        <f t="shared" si="3"/>
        <v>8330</v>
      </c>
      <c r="G39" s="11">
        <f t="shared" si="4"/>
        <v>33320</v>
      </c>
      <c r="I39" s="24">
        <f t="shared" si="5"/>
        <v>583.10000000000036</v>
      </c>
      <c r="J39" s="28">
        <f t="shared" si="6"/>
        <v>11245.499999999991</v>
      </c>
    </row>
    <row r="40" spans="2:10" x14ac:dyDescent="0.35">
      <c r="B40" s="10">
        <v>27</v>
      </c>
      <c r="C40" s="11">
        <f t="shared" si="0"/>
        <v>10662.4</v>
      </c>
      <c r="D40" s="11">
        <f t="shared" si="1"/>
        <v>888.5333333333333</v>
      </c>
      <c r="E40" s="11">
        <f t="shared" si="2"/>
        <v>2332.4</v>
      </c>
      <c r="F40" s="11">
        <f t="shared" si="3"/>
        <v>8330</v>
      </c>
      <c r="G40" s="11">
        <f t="shared" si="4"/>
        <v>24990</v>
      </c>
      <c r="I40" s="24">
        <f t="shared" si="5"/>
        <v>583.10000000000036</v>
      </c>
      <c r="J40" s="28">
        <f t="shared" si="6"/>
        <v>10662.399999999991</v>
      </c>
    </row>
    <row r="41" spans="2:10" x14ac:dyDescent="0.35">
      <c r="B41" s="10">
        <v>28</v>
      </c>
      <c r="C41" s="11">
        <f t="shared" si="0"/>
        <v>10079.299999999999</v>
      </c>
      <c r="D41" s="11">
        <f t="shared" si="1"/>
        <v>839.94166666666661</v>
      </c>
      <c r="E41" s="11">
        <f t="shared" si="2"/>
        <v>1749.3000000000002</v>
      </c>
      <c r="F41" s="11">
        <f t="shared" si="3"/>
        <v>8330</v>
      </c>
      <c r="G41" s="11">
        <f t="shared" si="4"/>
        <v>16660</v>
      </c>
      <c r="I41" s="24">
        <f t="shared" si="5"/>
        <v>583.10000000000036</v>
      </c>
      <c r="J41" s="28">
        <f t="shared" si="6"/>
        <v>10079.29999999999</v>
      </c>
    </row>
    <row r="42" spans="2:10" x14ac:dyDescent="0.35">
      <c r="B42" s="10">
        <v>29</v>
      </c>
      <c r="C42" s="11">
        <f t="shared" si="0"/>
        <v>9496.2000000000007</v>
      </c>
      <c r="D42" s="11">
        <f t="shared" si="1"/>
        <v>791.35</v>
      </c>
      <c r="E42" s="11">
        <f t="shared" si="2"/>
        <v>1166.2</v>
      </c>
      <c r="F42" s="11">
        <f t="shared" si="3"/>
        <v>8330</v>
      </c>
      <c r="G42" s="11">
        <f t="shared" si="4"/>
        <v>8330</v>
      </c>
      <c r="I42" s="24">
        <f t="shared" si="5"/>
        <v>583.09999999999854</v>
      </c>
      <c r="J42" s="28">
        <f t="shared" si="6"/>
        <v>9496.2000000000407</v>
      </c>
    </row>
    <row r="43" spans="2:10" x14ac:dyDescent="0.35">
      <c r="B43" s="10">
        <v>30</v>
      </c>
      <c r="C43" s="11">
        <f t="shared" si="0"/>
        <v>8913.1</v>
      </c>
      <c r="D43" s="11">
        <f t="shared" si="1"/>
        <v>742.75833333333333</v>
      </c>
      <c r="E43" s="11">
        <f t="shared" si="2"/>
        <v>583.1</v>
      </c>
      <c r="F43" s="11">
        <f t="shared" si="3"/>
        <v>8330</v>
      </c>
      <c r="G43" s="11">
        <f t="shared" si="4"/>
        <v>0</v>
      </c>
      <c r="I43" s="24">
        <f t="shared" si="5"/>
        <v>583.10000000000036</v>
      </c>
      <c r="J43" s="28">
        <f t="shared" si="6"/>
        <v>8913.0999999999913</v>
      </c>
    </row>
    <row r="45" spans="2:10" x14ac:dyDescent="0.35">
      <c r="C45" s="12">
        <f>SUM(C13:C37)</f>
        <v>458816.4</v>
      </c>
      <c r="D45" s="12"/>
      <c r="E45" s="13">
        <f>SUM(E13:E37)</f>
        <v>258896.40000000002</v>
      </c>
      <c r="F45" s="13">
        <f>SUM(F13:F37)</f>
        <v>199920</v>
      </c>
      <c r="G45" s="14"/>
    </row>
    <row r="46" spans="2:10" x14ac:dyDescent="0.35">
      <c r="C46" s="15" t="s">
        <v>9</v>
      </c>
      <c r="D46" s="15"/>
      <c r="E46" s="16" t="s">
        <v>11</v>
      </c>
      <c r="F46" s="16" t="s">
        <v>12</v>
      </c>
      <c r="G46" s="14"/>
    </row>
    <row r="47" spans="2:10" x14ac:dyDescent="0.35">
      <c r="C47" s="17" t="s">
        <v>10</v>
      </c>
      <c r="D47" s="26"/>
      <c r="E47" s="14"/>
      <c r="F47" s="14"/>
      <c r="G47" s="14"/>
    </row>
    <row r="48" spans="2:10" x14ac:dyDescent="0.35">
      <c r="C48" s="17" t="s">
        <v>13</v>
      </c>
      <c r="D48" s="26"/>
      <c r="E48" s="14"/>
      <c r="F48" s="14"/>
      <c r="G48" s="14"/>
    </row>
    <row r="49" spans="3:7" x14ac:dyDescent="0.35">
      <c r="C49" s="18" t="s">
        <v>14</v>
      </c>
      <c r="D49" s="26"/>
      <c r="E49" s="14"/>
      <c r="F49" s="19">
        <f>F45+E45</f>
        <v>458816.4</v>
      </c>
      <c r="G49" s="20" t="s">
        <v>16</v>
      </c>
    </row>
    <row r="50" spans="3:7" x14ac:dyDescent="0.35">
      <c r="C50" s="14"/>
      <c r="D50" s="14"/>
      <c r="E50" s="14"/>
      <c r="F50" s="14"/>
      <c r="G50" s="14"/>
    </row>
    <row r="51" spans="3:7" x14ac:dyDescent="0.35">
      <c r="C51" s="14"/>
      <c r="D51" s="14"/>
      <c r="E51" s="14"/>
      <c r="F51" s="14"/>
      <c r="G51" s="14"/>
    </row>
    <row r="52" spans="3:7" x14ac:dyDescent="0.35">
      <c r="C52" s="14"/>
      <c r="D52" s="14"/>
      <c r="E52" s="14"/>
      <c r="F52" s="14"/>
      <c r="G52" s="1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F637-EEF3-43EE-8B5A-97199DA7F5CB}">
  <sheetPr codeName="Sheet8"/>
  <dimension ref="B1:N373"/>
  <sheetViews>
    <sheetView zoomScale="70" zoomScaleNormal="70" workbookViewId="0">
      <selection activeCell="D10" sqref="D10"/>
    </sheetView>
  </sheetViews>
  <sheetFormatPr defaultRowHeight="14.5" x14ac:dyDescent="0.35"/>
  <cols>
    <col min="1" max="1" width="8.7265625" style="1"/>
    <col min="2" max="2" width="34" style="1" bestFit="1" customWidth="1"/>
    <col min="3" max="3" width="15.6328125" style="1" customWidth="1"/>
    <col min="4" max="4" width="21.54296875" style="1" customWidth="1"/>
    <col min="5" max="5" width="17.54296875" style="1" customWidth="1"/>
    <col min="6" max="6" width="14.453125" style="1" customWidth="1"/>
    <col min="7" max="7" width="14.6328125" style="1" customWidth="1"/>
    <col min="8" max="8" width="20.1796875" style="1" customWidth="1"/>
    <col min="9" max="9" width="14.81640625" style="1" bestFit="1" customWidth="1"/>
    <col min="10" max="10" width="10" style="1" customWidth="1"/>
    <col min="11" max="11" width="17.36328125" style="1" bestFit="1" customWidth="1"/>
    <col min="12" max="12" width="23.26953125" style="1" bestFit="1" customWidth="1"/>
    <col min="13" max="13" width="17.6328125" style="1" bestFit="1" customWidth="1"/>
    <col min="14" max="14" width="18.26953125" style="1" bestFit="1" customWidth="1"/>
    <col min="15" max="16384" width="8.7265625" style="1"/>
  </cols>
  <sheetData>
    <row r="1" spans="2:14" x14ac:dyDescent="0.35">
      <c r="B1" s="1" t="s">
        <v>38</v>
      </c>
    </row>
    <row r="2" spans="2:14" x14ac:dyDescent="0.35">
      <c r="B2" s="21"/>
    </row>
    <row r="3" spans="2:14" x14ac:dyDescent="0.35">
      <c r="B3" s="2" t="s">
        <v>0</v>
      </c>
      <c r="C3" s="3">
        <f>Principal!D13</f>
        <v>7.0000000000000007E-2</v>
      </c>
    </row>
    <row r="4" spans="2:14" x14ac:dyDescent="0.35">
      <c r="B4" s="2" t="s">
        <v>1</v>
      </c>
      <c r="C4" s="2">
        <v>12</v>
      </c>
      <c r="D4" s="1" t="s">
        <v>20</v>
      </c>
    </row>
    <row r="5" spans="2:14" x14ac:dyDescent="0.35">
      <c r="B5" s="2" t="s">
        <v>2</v>
      </c>
      <c r="C5" s="4">
        <f>C3/C4</f>
        <v>5.8333333333333336E-3</v>
      </c>
    </row>
    <row r="6" spans="2:14" x14ac:dyDescent="0.35">
      <c r="B6" s="2" t="s">
        <v>3</v>
      </c>
      <c r="C6" s="2">
        <f>Principal!D11*12</f>
        <v>360</v>
      </c>
    </row>
    <row r="7" spans="2:14" x14ac:dyDescent="0.35">
      <c r="B7" s="2" t="s">
        <v>4</v>
      </c>
      <c r="C7" s="38">
        <f>Principal!D9</f>
        <v>249900</v>
      </c>
      <c r="J7" s="27"/>
    </row>
    <row r="8" spans="2:14" x14ac:dyDescent="0.35">
      <c r="B8" s="2" t="s">
        <v>15</v>
      </c>
      <c r="C8" s="6">
        <f>1/(1+C5)</f>
        <v>0.99420049710024849</v>
      </c>
    </row>
    <row r="9" spans="2:14" x14ac:dyDescent="0.35">
      <c r="B9" s="2" t="s">
        <v>48</v>
      </c>
      <c r="C9" s="7">
        <f>(1-C8^C6)/C5</f>
        <v>150.30756794782144</v>
      </c>
      <c r="D9" s="1" t="s">
        <v>7</v>
      </c>
    </row>
    <row r="10" spans="2:14" x14ac:dyDescent="0.35">
      <c r="B10" s="2" t="s">
        <v>6</v>
      </c>
      <c r="C10" s="5">
        <f>C7/C6</f>
        <v>694.16666666666663</v>
      </c>
      <c r="D10" s="1" t="s">
        <v>25</v>
      </c>
    </row>
    <row r="12" spans="2:14" ht="46" customHeight="1" x14ac:dyDescent="0.35">
      <c r="B12" s="8" t="s">
        <v>42</v>
      </c>
      <c r="C12" s="9" t="s">
        <v>41</v>
      </c>
      <c r="D12" s="9" t="s">
        <v>17</v>
      </c>
      <c r="E12" s="9" t="s">
        <v>34</v>
      </c>
      <c r="F12" s="9" t="s">
        <v>18</v>
      </c>
      <c r="H12" s="23" t="s">
        <v>19</v>
      </c>
      <c r="I12" s="29" t="s">
        <v>29</v>
      </c>
      <c r="K12" s="35">
        <f>SUM(C13:C373)</f>
        <v>513023.87500000233</v>
      </c>
      <c r="L12" s="35">
        <f t="shared" ref="L12:M12" si="0">SUM(D13:D373)</f>
        <v>263123.87500000244</v>
      </c>
      <c r="M12" s="35">
        <f t="shared" si="0"/>
        <v>249899.99999999869</v>
      </c>
      <c r="N12" s="14"/>
    </row>
    <row r="13" spans="2:14" x14ac:dyDescent="0.35">
      <c r="B13" s="10">
        <v>0</v>
      </c>
      <c r="C13" s="11">
        <v>0</v>
      </c>
      <c r="D13" s="11">
        <v>0</v>
      </c>
      <c r="E13" s="11">
        <v>0</v>
      </c>
      <c r="F13" s="11">
        <f>C7</f>
        <v>249900</v>
      </c>
      <c r="H13" s="24"/>
      <c r="I13" s="11">
        <v>0</v>
      </c>
      <c r="J13" s="36"/>
      <c r="K13" s="15" t="s">
        <v>9</v>
      </c>
      <c r="L13" s="16" t="s">
        <v>11</v>
      </c>
      <c r="M13" s="16" t="s">
        <v>12</v>
      </c>
      <c r="N13" s="14"/>
    </row>
    <row r="14" spans="2:14" x14ac:dyDescent="0.35">
      <c r="B14" s="10">
        <v>1</v>
      </c>
      <c r="C14" s="11">
        <f>D14+E14</f>
        <v>2151.9166666666665</v>
      </c>
      <c r="D14" s="11">
        <f>F13*$C$5</f>
        <v>1457.75</v>
      </c>
      <c r="E14" s="11">
        <f>$C$10</f>
        <v>694.16666666666663</v>
      </c>
      <c r="F14" s="11">
        <f>F13-E14</f>
        <v>249205.83333333334</v>
      </c>
      <c r="H14" s="24"/>
      <c r="I14" s="28">
        <f>C10*(1+(C6*C5))</f>
        <v>2151.9166666666665</v>
      </c>
      <c r="J14" s="36"/>
      <c r="K14" s="17" t="s">
        <v>10</v>
      </c>
      <c r="L14" s="14"/>
      <c r="M14" s="14"/>
      <c r="N14" s="14"/>
    </row>
    <row r="15" spans="2:14" x14ac:dyDescent="0.35">
      <c r="B15" s="10">
        <v>2</v>
      </c>
      <c r="C15" s="11">
        <f t="shared" ref="C15:C78" si="1">D15+E15</f>
        <v>2147.8673611111112</v>
      </c>
      <c r="D15" s="11">
        <f t="shared" ref="D15:D78" si="2">F14*$C$5</f>
        <v>1453.7006944444445</v>
      </c>
      <c r="E15" s="11">
        <f t="shared" ref="E15:E78" si="3">$C$10</f>
        <v>694.16666666666663</v>
      </c>
      <c r="F15" s="11">
        <f t="shared" ref="F15:F78" si="4">F14-E15</f>
        <v>248511.66666666669</v>
      </c>
      <c r="H15" s="24">
        <f>C14-C15</f>
        <v>4.0493055555552928</v>
      </c>
      <c r="I15" s="28">
        <f>$I$14-((B15-1)*H15)</f>
        <v>2147.8673611111112</v>
      </c>
      <c r="J15" s="36"/>
      <c r="K15" s="17" t="s">
        <v>13</v>
      </c>
      <c r="L15" s="14"/>
      <c r="M15" s="14"/>
      <c r="N15" s="14"/>
    </row>
    <row r="16" spans="2:14" x14ac:dyDescent="0.35">
      <c r="B16" s="10">
        <v>3</v>
      </c>
      <c r="C16" s="11">
        <f t="shared" si="1"/>
        <v>2143.8180555555555</v>
      </c>
      <c r="D16" s="11">
        <f t="shared" si="2"/>
        <v>1449.651388888889</v>
      </c>
      <c r="E16" s="11">
        <f t="shared" si="3"/>
        <v>694.16666666666663</v>
      </c>
      <c r="F16" s="11">
        <f t="shared" si="4"/>
        <v>247817.50000000003</v>
      </c>
      <c r="H16" s="24">
        <f t="shared" ref="H16:H43" si="5">C15-C16</f>
        <v>4.0493055555557476</v>
      </c>
      <c r="I16" s="28">
        <f t="shared" ref="I16:I43" si="6">$I$14-((B16-1)*H16)</f>
        <v>2143.818055555555</v>
      </c>
      <c r="J16" s="36"/>
      <c r="K16" s="18" t="s">
        <v>14</v>
      </c>
      <c r="L16" s="14"/>
      <c r="M16" s="33">
        <f>M12+L12</f>
        <v>513023.87500000116</v>
      </c>
      <c r="N16" s="20" t="s">
        <v>16</v>
      </c>
    </row>
    <row r="17" spans="2:10" x14ac:dyDescent="0.35">
      <c r="B17" s="10">
        <v>4</v>
      </c>
      <c r="C17" s="11">
        <f t="shared" si="1"/>
        <v>2139.7687500000002</v>
      </c>
      <c r="D17" s="11">
        <f t="shared" si="2"/>
        <v>1445.6020833333337</v>
      </c>
      <c r="E17" s="11">
        <f t="shared" si="3"/>
        <v>694.16666666666663</v>
      </c>
      <c r="F17" s="11">
        <f t="shared" si="4"/>
        <v>247123.33333333337</v>
      </c>
      <c r="H17" s="24">
        <f t="shared" si="5"/>
        <v>4.0493055555552928</v>
      </c>
      <c r="I17" s="28">
        <f t="shared" si="6"/>
        <v>2139.7687500000006</v>
      </c>
      <c r="J17" s="36"/>
    </row>
    <row r="18" spans="2:10" x14ac:dyDescent="0.35">
      <c r="B18" s="10">
        <v>5</v>
      </c>
      <c r="C18" s="11">
        <f t="shared" si="1"/>
        <v>2135.7194444444449</v>
      </c>
      <c r="D18" s="11">
        <f t="shared" si="2"/>
        <v>1441.5527777777781</v>
      </c>
      <c r="E18" s="11">
        <f t="shared" si="3"/>
        <v>694.16666666666663</v>
      </c>
      <c r="F18" s="11">
        <f t="shared" si="4"/>
        <v>246429.16666666672</v>
      </c>
      <c r="H18" s="24">
        <f t="shared" si="5"/>
        <v>4.0493055555552928</v>
      </c>
      <c r="I18" s="28">
        <f t="shared" si="6"/>
        <v>2135.7194444444453</v>
      </c>
      <c r="J18" s="36"/>
    </row>
    <row r="19" spans="2:10" x14ac:dyDescent="0.35">
      <c r="B19" s="10">
        <v>6</v>
      </c>
      <c r="C19" s="11">
        <f t="shared" si="1"/>
        <v>2131.6701388888891</v>
      </c>
      <c r="D19" s="11">
        <f t="shared" si="2"/>
        <v>1437.5034722222226</v>
      </c>
      <c r="E19" s="11">
        <f t="shared" si="3"/>
        <v>694.16666666666663</v>
      </c>
      <c r="F19" s="11">
        <f t="shared" si="4"/>
        <v>245735.00000000006</v>
      </c>
      <c r="H19" s="24">
        <f t="shared" si="5"/>
        <v>4.0493055555557476</v>
      </c>
      <c r="I19" s="28">
        <f t="shared" si="6"/>
        <v>2131.6701388888878</v>
      </c>
      <c r="J19" s="36"/>
    </row>
    <row r="20" spans="2:10" x14ac:dyDescent="0.35">
      <c r="B20" s="10">
        <v>7</v>
      </c>
      <c r="C20" s="11">
        <f t="shared" si="1"/>
        <v>2127.6208333333338</v>
      </c>
      <c r="D20" s="11">
        <f t="shared" si="2"/>
        <v>1433.4541666666671</v>
      </c>
      <c r="E20" s="11">
        <f t="shared" si="3"/>
        <v>694.16666666666663</v>
      </c>
      <c r="F20" s="11">
        <f t="shared" si="4"/>
        <v>245040.8333333334</v>
      </c>
      <c r="H20" s="24">
        <f t="shared" si="5"/>
        <v>4.0493055555552928</v>
      </c>
      <c r="I20" s="28">
        <f t="shared" si="6"/>
        <v>2127.6208333333348</v>
      </c>
      <c r="J20" s="36"/>
    </row>
    <row r="21" spans="2:10" x14ac:dyDescent="0.35">
      <c r="B21" s="10">
        <v>8</v>
      </c>
      <c r="C21" s="11">
        <f t="shared" si="1"/>
        <v>2123.5715277777781</v>
      </c>
      <c r="D21" s="11">
        <f t="shared" si="2"/>
        <v>1429.4048611111116</v>
      </c>
      <c r="E21" s="11">
        <f t="shared" si="3"/>
        <v>694.16666666666663</v>
      </c>
      <c r="F21" s="11">
        <f t="shared" si="4"/>
        <v>244346.66666666674</v>
      </c>
      <c r="H21" s="24">
        <f t="shared" si="5"/>
        <v>4.0493055555557476</v>
      </c>
      <c r="I21" s="28">
        <f t="shared" si="6"/>
        <v>2123.5715277777763</v>
      </c>
      <c r="J21" s="36"/>
    </row>
    <row r="22" spans="2:10" x14ac:dyDescent="0.35">
      <c r="B22" s="10">
        <v>9</v>
      </c>
      <c r="C22" s="11">
        <f t="shared" si="1"/>
        <v>2119.5222222222228</v>
      </c>
      <c r="D22" s="11">
        <f t="shared" si="2"/>
        <v>1425.3555555555561</v>
      </c>
      <c r="E22" s="11">
        <f t="shared" si="3"/>
        <v>694.16666666666663</v>
      </c>
      <c r="F22" s="11">
        <f t="shared" si="4"/>
        <v>243652.50000000009</v>
      </c>
      <c r="H22" s="24">
        <f t="shared" si="5"/>
        <v>4.0493055555552928</v>
      </c>
      <c r="I22" s="28">
        <f t="shared" si="6"/>
        <v>2119.5222222222242</v>
      </c>
      <c r="J22" s="36"/>
    </row>
    <row r="23" spans="2:10" x14ac:dyDescent="0.35">
      <c r="B23" s="10">
        <v>10</v>
      </c>
      <c r="C23" s="11">
        <f t="shared" si="1"/>
        <v>2115.4729166666671</v>
      </c>
      <c r="D23" s="11">
        <f t="shared" si="2"/>
        <v>1421.3062500000005</v>
      </c>
      <c r="E23" s="11">
        <f t="shared" si="3"/>
        <v>694.16666666666663</v>
      </c>
      <c r="F23" s="11">
        <f t="shared" si="4"/>
        <v>242958.33333333343</v>
      </c>
      <c r="H23" s="24">
        <f t="shared" si="5"/>
        <v>4.0493055555557476</v>
      </c>
      <c r="I23" s="28">
        <f t="shared" si="6"/>
        <v>2115.4729166666648</v>
      </c>
      <c r="J23" s="36"/>
    </row>
    <row r="24" spans="2:10" x14ac:dyDescent="0.35">
      <c r="B24" s="10">
        <v>11</v>
      </c>
      <c r="C24" s="11">
        <f t="shared" si="1"/>
        <v>2111.4236111111118</v>
      </c>
      <c r="D24" s="11">
        <f t="shared" si="2"/>
        <v>1417.256944444445</v>
      </c>
      <c r="E24" s="11">
        <f t="shared" si="3"/>
        <v>694.16666666666663</v>
      </c>
      <c r="F24" s="11">
        <f t="shared" si="4"/>
        <v>242264.16666666677</v>
      </c>
      <c r="H24" s="24">
        <f t="shared" si="5"/>
        <v>4.0493055555552928</v>
      </c>
      <c r="I24" s="28">
        <f t="shared" si="6"/>
        <v>2111.4236111111136</v>
      </c>
      <c r="J24" s="36"/>
    </row>
    <row r="25" spans="2:10" x14ac:dyDescent="0.35">
      <c r="B25" s="10">
        <v>12</v>
      </c>
      <c r="C25" s="11">
        <f t="shared" si="1"/>
        <v>2107.374305555556</v>
      </c>
      <c r="D25" s="11">
        <f t="shared" si="2"/>
        <v>1413.2076388888895</v>
      </c>
      <c r="E25" s="11">
        <f t="shared" si="3"/>
        <v>694.16666666666663</v>
      </c>
      <c r="F25" s="11">
        <f t="shared" si="4"/>
        <v>241570.00000000012</v>
      </c>
      <c r="H25" s="24">
        <f t="shared" si="5"/>
        <v>4.0493055555557476</v>
      </c>
      <c r="I25" s="28">
        <f t="shared" si="6"/>
        <v>2107.3743055555533</v>
      </c>
      <c r="J25" s="36"/>
    </row>
    <row r="26" spans="2:10" x14ac:dyDescent="0.35">
      <c r="B26" s="10">
        <v>13</v>
      </c>
      <c r="C26" s="11">
        <f t="shared" si="1"/>
        <v>2103.3250000000007</v>
      </c>
      <c r="D26" s="11">
        <f t="shared" si="2"/>
        <v>1409.158333333334</v>
      </c>
      <c r="E26" s="11">
        <f t="shared" si="3"/>
        <v>694.16666666666663</v>
      </c>
      <c r="F26" s="11">
        <f t="shared" si="4"/>
        <v>240875.83333333346</v>
      </c>
      <c r="H26" s="24">
        <f t="shared" si="5"/>
        <v>4.0493055555552928</v>
      </c>
      <c r="I26" s="28">
        <f t="shared" si="6"/>
        <v>2103.325000000003</v>
      </c>
      <c r="J26" s="36"/>
    </row>
    <row r="27" spans="2:10" x14ac:dyDescent="0.35">
      <c r="B27" s="10">
        <v>14</v>
      </c>
      <c r="C27" s="11">
        <f t="shared" si="1"/>
        <v>2099.275694444445</v>
      </c>
      <c r="D27" s="11">
        <f t="shared" si="2"/>
        <v>1405.1090277777785</v>
      </c>
      <c r="E27" s="11">
        <f t="shared" si="3"/>
        <v>694.16666666666663</v>
      </c>
      <c r="F27" s="11">
        <f t="shared" si="4"/>
        <v>240181.6666666668</v>
      </c>
      <c r="H27" s="24">
        <f t="shared" si="5"/>
        <v>4.0493055555557476</v>
      </c>
      <c r="I27" s="28">
        <f t="shared" si="6"/>
        <v>2099.2756944444418</v>
      </c>
      <c r="J27" s="36"/>
    </row>
    <row r="28" spans="2:10" x14ac:dyDescent="0.35">
      <c r="B28" s="10">
        <v>15</v>
      </c>
      <c r="C28" s="11">
        <f t="shared" si="1"/>
        <v>2095.2263888888897</v>
      </c>
      <c r="D28" s="11">
        <f t="shared" si="2"/>
        <v>1401.0597222222232</v>
      </c>
      <c r="E28" s="11">
        <f t="shared" si="3"/>
        <v>694.16666666666663</v>
      </c>
      <c r="F28" s="11">
        <f t="shared" si="4"/>
        <v>239487.50000000015</v>
      </c>
      <c r="H28" s="24">
        <f t="shared" si="5"/>
        <v>4.0493055555552928</v>
      </c>
      <c r="I28" s="28">
        <f t="shared" si="6"/>
        <v>2095.2263888888924</v>
      </c>
      <c r="J28" s="36"/>
    </row>
    <row r="29" spans="2:10" x14ac:dyDescent="0.35">
      <c r="B29" s="10">
        <v>16</v>
      </c>
      <c r="C29" s="11">
        <f t="shared" si="1"/>
        <v>2091.1770833333344</v>
      </c>
      <c r="D29" s="11">
        <f t="shared" si="2"/>
        <v>1397.0104166666677</v>
      </c>
      <c r="E29" s="11">
        <f t="shared" si="3"/>
        <v>694.16666666666663</v>
      </c>
      <c r="F29" s="11">
        <f t="shared" si="4"/>
        <v>238793.33333333349</v>
      </c>
      <c r="H29" s="24">
        <f t="shared" si="5"/>
        <v>4.0493055555552928</v>
      </c>
      <c r="I29" s="28">
        <f t="shared" si="6"/>
        <v>2091.1770833333371</v>
      </c>
      <c r="J29" s="36"/>
    </row>
    <row r="30" spans="2:10" x14ac:dyDescent="0.35">
      <c r="B30" s="10">
        <v>17</v>
      </c>
      <c r="C30" s="11">
        <f t="shared" si="1"/>
        <v>2087.1277777777786</v>
      </c>
      <c r="D30" s="11">
        <f t="shared" si="2"/>
        <v>1392.9611111111121</v>
      </c>
      <c r="E30" s="11">
        <f t="shared" si="3"/>
        <v>694.16666666666663</v>
      </c>
      <c r="F30" s="11">
        <f t="shared" si="4"/>
        <v>238099.16666666683</v>
      </c>
      <c r="H30" s="24">
        <f t="shared" si="5"/>
        <v>4.0493055555557476</v>
      </c>
      <c r="I30" s="28">
        <f t="shared" si="6"/>
        <v>2087.1277777777746</v>
      </c>
      <c r="J30" s="36"/>
    </row>
    <row r="31" spans="2:10" x14ac:dyDescent="0.35">
      <c r="B31" s="10">
        <v>18</v>
      </c>
      <c r="C31" s="11">
        <f t="shared" si="1"/>
        <v>2083.0784722222234</v>
      </c>
      <c r="D31" s="11">
        <f t="shared" si="2"/>
        <v>1388.9118055555566</v>
      </c>
      <c r="E31" s="11">
        <f t="shared" si="3"/>
        <v>694.16666666666663</v>
      </c>
      <c r="F31" s="11">
        <f t="shared" si="4"/>
        <v>237405.00000000017</v>
      </c>
      <c r="H31" s="24">
        <f t="shared" si="5"/>
        <v>4.0493055555552928</v>
      </c>
      <c r="I31" s="28">
        <f t="shared" si="6"/>
        <v>2083.0784722222265</v>
      </c>
      <c r="J31" s="36"/>
    </row>
    <row r="32" spans="2:10" x14ac:dyDescent="0.35">
      <c r="B32" s="10">
        <v>19</v>
      </c>
      <c r="C32" s="11">
        <f t="shared" si="1"/>
        <v>2079.0291666666676</v>
      </c>
      <c r="D32" s="11">
        <f t="shared" si="2"/>
        <v>1384.8625000000011</v>
      </c>
      <c r="E32" s="11">
        <f t="shared" si="3"/>
        <v>694.16666666666663</v>
      </c>
      <c r="F32" s="11">
        <f t="shared" si="4"/>
        <v>236710.83333333352</v>
      </c>
      <c r="H32" s="24">
        <f t="shared" si="5"/>
        <v>4.0493055555557476</v>
      </c>
      <c r="I32" s="28">
        <f t="shared" si="6"/>
        <v>2079.0291666666631</v>
      </c>
      <c r="J32" s="36"/>
    </row>
    <row r="33" spans="2:10" x14ac:dyDescent="0.35">
      <c r="B33" s="10">
        <v>20</v>
      </c>
      <c r="C33" s="11">
        <f t="shared" si="1"/>
        <v>2074.9798611111123</v>
      </c>
      <c r="D33" s="11">
        <f t="shared" si="2"/>
        <v>1380.8131944444456</v>
      </c>
      <c r="E33" s="11">
        <f t="shared" si="3"/>
        <v>694.16666666666663</v>
      </c>
      <c r="F33" s="11">
        <f t="shared" si="4"/>
        <v>236016.66666666686</v>
      </c>
      <c r="H33" s="24">
        <f t="shared" si="5"/>
        <v>4.0493055555552928</v>
      </c>
      <c r="I33" s="28">
        <f t="shared" si="6"/>
        <v>2074.979861111116</v>
      </c>
      <c r="J33" s="36"/>
    </row>
    <row r="34" spans="2:10" x14ac:dyDescent="0.35">
      <c r="B34" s="10">
        <v>21</v>
      </c>
      <c r="C34" s="11">
        <f t="shared" si="1"/>
        <v>2070.9305555555566</v>
      </c>
      <c r="D34" s="11">
        <f t="shared" si="2"/>
        <v>1376.7638888888901</v>
      </c>
      <c r="E34" s="11">
        <f t="shared" si="3"/>
        <v>694.16666666666663</v>
      </c>
      <c r="F34" s="11">
        <f t="shared" si="4"/>
        <v>235322.5000000002</v>
      </c>
      <c r="H34" s="24">
        <f t="shared" si="5"/>
        <v>4.0493055555557476</v>
      </c>
      <c r="I34" s="28">
        <f t="shared" si="6"/>
        <v>2070.9305555555516</v>
      </c>
      <c r="J34" s="36"/>
    </row>
    <row r="35" spans="2:10" x14ac:dyDescent="0.35">
      <c r="B35" s="10">
        <v>22</v>
      </c>
      <c r="C35" s="11">
        <f t="shared" si="1"/>
        <v>2066.8812500000013</v>
      </c>
      <c r="D35" s="11">
        <f t="shared" si="2"/>
        <v>1372.7145833333345</v>
      </c>
      <c r="E35" s="11">
        <f t="shared" si="3"/>
        <v>694.16666666666663</v>
      </c>
      <c r="F35" s="11">
        <f t="shared" si="4"/>
        <v>234628.33333333355</v>
      </c>
      <c r="H35" s="24">
        <f t="shared" si="5"/>
        <v>4.0493055555552928</v>
      </c>
      <c r="I35" s="28">
        <f t="shared" si="6"/>
        <v>2066.8812500000054</v>
      </c>
      <c r="J35" s="36"/>
    </row>
    <row r="36" spans="2:10" x14ac:dyDescent="0.35">
      <c r="B36" s="10">
        <v>23</v>
      </c>
      <c r="C36" s="11">
        <f t="shared" si="1"/>
        <v>2062.8319444444455</v>
      </c>
      <c r="D36" s="11">
        <f t="shared" si="2"/>
        <v>1368.665277777779</v>
      </c>
      <c r="E36" s="11">
        <f t="shared" si="3"/>
        <v>694.16666666666663</v>
      </c>
      <c r="F36" s="11">
        <f t="shared" si="4"/>
        <v>233934.16666666689</v>
      </c>
      <c r="H36" s="24">
        <f t="shared" si="5"/>
        <v>4.0493055555557476</v>
      </c>
      <c r="I36" s="28">
        <f t="shared" si="6"/>
        <v>2062.8319444444401</v>
      </c>
      <c r="J36" s="36"/>
    </row>
    <row r="37" spans="2:10" x14ac:dyDescent="0.35">
      <c r="B37" s="10">
        <v>24</v>
      </c>
      <c r="C37" s="11">
        <f t="shared" si="1"/>
        <v>2058.7826388888902</v>
      </c>
      <c r="D37" s="11">
        <f t="shared" si="2"/>
        <v>1364.6159722222235</v>
      </c>
      <c r="E37" s="11">
        <f t="shared" si="3"/>
        <v>694.16666666666663</v>
      </c>
      <c r="F37" s="11">
        <f t="shared" si="4"/>
        <v>233240.00000000023</v>
      </c>
      <c r="H37" s="24">
        <f t="shared" si="5"/>
        <v>4.0493055555552928</v>
      </c>
      <c r="I37" s="28">
        <f t="shared" si="6"/>
        <v>2058.7826388888948</v>
      </c>
      <c r="J37" s="36"/>
    </row>
    <row r="38" spans="2:10" x14ac:dyDescent="0.35">
      <c r="B38" s="10">
        <v>25</v>
      </c>
      <c r="C38" s="11">
        <f t="shared" si="1"/>
        <v>2054.7333333333349</v>
      </c>
      <c r="D38" s="11">
        <f t="shared" si="2"/>
        <v>1360.5666666666682</v>
      </c>
      <c r="E38" s="11">
        <f t="shared" si="3"/>
        <v>694.16666666666663</v>
      </c>
      <c r="F38" s="11">
        <f t="shared" si="4"/>
        <v>232545.83333333358</v>
      </c>
      <c r="H38" s="24">
        <f t="shared" si="5"/>
        <v>4.0493055555552928</v>
      </c>
      <c r="I38" s="28">
        <f t="shared" si="6"/>
        <v>2054.7333333333395</v>
      </c>
      <c r="J38" s="36"/>
    </row>
    <row r="39" spans="2:10" x14ac:dyDescent="0.35">
      <c r="B39" s="10">
        <v>26</v>
      </c>
      <c r="C39" s="11">
        <f t="shared" si="1"/>
        <v>2050.6840277777792</v>
      </c>
      <c r="D39" s="11">
        <f t="shared" si="2"/>
        <v>1356.5173611111127</v>
      </c>
      <c r="E39" s="11">
        <f t="shared" si="3"/>
        <v>694.16666666666663</v>
      </c>
      <c r="F39" s="11">
        <f t="shared" si="4"/>
        <v>231851.66666666692</v>
      </c>
      <c r="H39" s="24">
        <f t="shared" si="5"/>
        <v>4.0493055555557476</v>
      </c>
      <c r="I39" s="28">
        <f t="shared" si="6"/>
        <v>2050.6840277777728</v>
      </c>
      <c r="J39" s="36"/>
    </row>
    <row r="40" spans="2:10" x14ac:dyDescent="0.35">
      <c r="B40" s="10">
        <v>27</v>
      </c>
      <c r="C40" s="11">
        <f t="shared" si="1"/>
        <v>2046.6347222222239</v>
      </c>
      <c r="D40" s="11">
        <f t="shared" si="2"/>
        <v>1352.4680555555572</v>
      </c>
      <c r="E40" s="11">
        <f t="shared" si="3"/>
        <v>694.16666666666663</v>
      </c>
      <c r="F40" s="11">
        <f t="shared" si="4"/>
        <v>231157.50000000026</v>
      </c>
      <c r="H40" s="24">
        <f t="shared" si="5"/>
        <v>4.0493055555552928</v>
      </c>
      <c r="I40" s="28">
        <f t="shared" si="6"/>
        <v>2046.6347222222289</v>
      </c>
      <c r="J40" s="36"/>
    </row>
    <row r="41" spans="2:10" x14ac:dyDescent="0.35">
      <c r="B41" s="10">
        <v>28</v>
      </c>
      <c r="C41" s="11">
        <f t="shared" si="1"/>
        <v>2042.5854166666682</v>
      </c>
      <c r="D41" s="11">
        <f t="shared" si="2"/>
        <v>1348.4187500000016</v>
      </c>
      <c r="E41" s="11">
        <f t="shared" si="3"/>
        <v>694.16666666666663</v>
      </c>
      <c r="F41" s="11">
        <f t="shared" si="4"/>
        <v>230463.3333333336</v>
      </c>
      <c r="H41" s="24">
        <f t="shared" si="5"/>
        <v>4.0493055555557476</v>
      </c>
      <c r="I41" s="28">
        <f t="shared" si="6"/>
        <v>2042.5854166666613</v>
      </c>
      <c r="J41" s="36"/>
    </row>
    <row r="42" spans="2:10" x14ac:dyDescent="0.35">
      <c r="B42" s="10">
        <v>29</v>
      </c>
      <c r="C42" s="11">
        <f t="shared" si="1"/>
        <v>2038.5361111111129</v>
      </c>
      <c r="D42" s="11">
        <f t="shared" si="2"/>
        <v>1344.3694444444461</v>
      </c>
      <c r="E42" s="11">
        <f t="shared" si="3"/>
        <v>694.16666666666663</v>
      </c>
      <c r="F42" s="11">
        <f t="shared" si="4"/>
        <v>229769.16666666695</v>
      </c>
      <c r="H42" s="24">
        <f t="shared" si="5"/>
        <v>4.0493055555552928</v>
      </c>
      <c r="I42" s="28">
        <f t="shared" si="6"/>
        <v>2038.5361111111183</v>
      </c>
      <c r="J42" s="36"/>
    </row>
    <row r="43" spans="2:10" x14ac:dyDescent="0.35">
      <c r="B43" s="10">
        <v>30</v>
      </c>
      <c r="C43" s="11">
        <f t="shared" si="1"/>
        <v>2034.4868055555571</v>
      </c>
      <c r="D43" s="11">
        <f t="shared" si="2"/>
        <v>1340.3201388888906</v>
      </c>
      <c r="E43" s="11">
        <f t="shared" si="3"/>
        <v>694.16666666666663</v>
      </c>
      <c r="F43" s="11">
        <f t="shared" si="4"/>
        <v>229075.00000000029</v>
      </c>
      <c r="H43" s="24">
        <f t="shared" si="5"/>
        <v>4.0493055555557476</v>
      </c>
      <c r="I43" s="28">
        <f t="shared" si="6"/>
        <v>2034.4868055555498</v>
      </c>
      <c r="J43" s="36"/>
    </row>
    <row r="44" spans="2:10" x14ac:dyDescent="0.35">
      <c r="B44" s="10">
        <v>31</v>
      </c>
      <c r="C44" s="11">
        <f t="shared" si="1"/>
        <v>2030.4375000000018</v>
      </c>
      <c r="D44" s="11">
        <f t="shared" si="2"/>
        <v>1336.2708333333351</v>
      </c>
      <c r="E44" s="11">
        <f t="shared" si="3"/>
        <v>694.16666666666663</v>
      </c>
      <c r="F44" s="11">
        <f t="shared" si="4"/>
        <v>228380.83333333363</v>
      </c>
      <c r="H44" s="24">
        <f t="shared" ref="H44:H107" si="7">C43-C44</f>
        <v>4.0493055555552928</v>
      </c>
      <c r="I44" s="28">
        <f t="shared" ref="I44:I107" si="8">$I$14-((B44-1)*H44)</f>
        <v>2030.4375000000077</v>
      </c>
      <c r="J44" s="36"/>
    </row>
    <row r="45" spans="2:10" x14ac:dyDescent="0.35">
      <c r="B45" s="10">
        <v>32</v>
      </c>
      <c r="C45" s="11">
        <f t="shared" si="1"/>
        <v>2026.3881944444461</v>
      </c>
      <c r="D45" s="11">
        <f t="shared" si="2"/>
        <v>1332.2215277777796</v>
      </c>
      <c r="E45" s="11">
        <f t="shared" si="3"/>
        <v>694.16666666666663</v>
      </c>
      <c r="F45" s="11">
        <f t="shared" si="4"/>
        <v>227686.66666666698</v>
      </c>
      <c r="H45" s="24">
        <f t="shared" si="7"/>
        <v>4.0493055555557476</v>
      </c>
      <c r="I45" s="28">
        <f t="shared" si="8"/>
        <v>2026.3881944444383</v>
      </c>
      <c r="J45" s="36"/>
    </row>
    <row r="46" spans="2:10" x14ac:dyDescent="0.35">
      <c r="B46" s="10">
        <v>33</v>
      </c>
      <c r="C46" s="11">
        <f t="shared" si="1"/>
        <v>2022.3388888888908</v>
      </c>
      <c r="D46" s="11">
        <f t="shared" si="2"/>
        <v>1328.172222222224</v>
      </c>
      <c r="E46" s="11">
        <f t="shared" si="3"/>
        <v>694.16666666666663</v>
      </c>
      <c r="F46" s="11">
        <f t="shared" si="4"/>
        <v>226992.50000000032</v>
      </c>
      <c r="H46" s="24">
        <f t="shared" si="7"/>
        <v>4.0493055555552928</v>
      </c>
      <c r="I46" s="28">
        <f t="shared" si="8"/>
        <v>2022.3388888888971</v>
      </c>
      <c r="J46" s="36"/>
    </row>
    <row r="47" spans="2:10" x14ac:dyDescent="0.35">
      <c r="B47" s="10">
        <v>34</v>
      </c>
      <c r="C47" s="11">
        <f t="shared" si="1"/>
        <v>2018.289583333335</v>
      </c>
      <c r="D47" s="11">
        <f t="shared" si="2"/>
        <v>1324.1229166666685</v>
      </c>
      <c r="E47" s="11">
        <f t="shared" si="3"/>
        <v>694.16666666666663</v>
      </c>
      <c r="F47" s="11">
        <f t="shared" si="4"/>
        <v>226298.33333333366</v>
      </c>
      <c r="H47" s="24">
        <f t="shared" si="7"/>
        <v>4.0493055555557476</v>
      </c>
      <c r="I47" s="28">
        <f t="shared" si="8"/>
        <v>2018.2895833333268</v>
      </c>
      <c r="J47" s="36"/>
    </row>
    <row r="48" spans="2:10" x14ac:dyDescent="0.35">
      <c r="B48" s="10">
        <v>35</v>
      </c>
      <c r="C48" s="11">
        <f t="shared" si="1"/>
        <v>2014.2402777777797</v>
      </c>
      <c r="D48" s="11">
        <f t="shared" si="2"/>
        <v>1320.073611111113</v>
      </c>
      <c r="E48" s="11">
        <f t="shared" si="3"/>
        <v>694.16666666666663</v>
      </c>
      <c r="F48" s="11">
        <f t="shared" si="4"/>
        <v>225604.16666666701</v>
      </c>
      <c r="H48" s="24">
        <f t="shared" si="7"/>
        <v>4.0493055555552928</v>
      </c>
      <c r="I48" s="28">
        <f t="shared" si="8"/>
        <v>2014.2402777777866</v>
      </c>
      <c r="J48" s="36"/>
    </row>
    <row r="49" spans="2:10" x14ac:dyDescent="0.35">
      <c r="B49" s="10">
        <v>36</v>
      </c>
      <c r="C49" s="11">
        <f t="shared" si="1"/>
        <v>2010.1909722222244</v>
      </c>
      <c r="D49" s="11">
        <f t="shared" si="2"/>
        <v>1316.0243055555577</v>
      </c>
      <c r="E49" s="11">
        <f t="shared" si="3"/>
        <v>694.16666666666663</v>
      </c>
      <c r="F49" s="11">
        <f t="shared" si="4"/>
        <v>224910.00000000035</v>
      </c>
      <c r="H49" s="24">
        <f t="shared" si="7"/>
        <v>4.0493055555552928</v>
      </c>
      <c r="I49" s="28">
        <f t="shared" si="8"/>
        <v>2010.1909722222313</v>
      </c>
      <c r="J49" s="36"/>
    </row>
    <row r="50" spans="2:10" x14ac:dyDescent="0.35">
      <c r="B50" s="10">
        <v>37</v>
      </c>
      <c r="C50" s="11">
        <f t="shared" si="1"/>
        <v>2006.1416666666687</v>
      </c>
      <c r="D50" s="11">
        <f t="shared" si="2"/>
        <v>1311.9750000000022</v>
      </c>
      <c r="E50" s="11">
        <f t="shared" si="3"/>
        <v>694.16666666666663</v>
      </c>
      <c r="F50" s="11">
        <f t="shared" si="4"/>
        <v>224215.83333333369</v>
      </c>
      <c r="H50" s="24">
        <f t="shared" si="7"/>
        <v>4.0493055555557476</v>
      </c>
      <c r="I50" s="28">
        <f t="shared" si="8"/>
        <v>2006.1416666666596</v>
      </c>
      <c r="J50" s="36"/>
    </row>
    <row r="51" spans="2:10" x14ac:dyDescent="0.35">
      <c r="B51" s="10">
        <v>38</v>
      </c>
      <c r="C51" s="11">
        <f t="shared" si="1"/>
        <v>2002.0923611111134</v>
      </c>
      <c r="D51" s="11">
        <f t="shared" si="2"/>
        <v>1307.9256944444467</v>
      </c>
      <c r="E51" s="11">
        <f t="shared" si="3"/>
        <v>694.16666666666663</v>
      </c>
      <c r="F51" s="11">
        <f t="shared" si="4"/>
        <v>223521.66666666704</v>
      </c>
      <c r="H51" s="24">
        <f t="shared" si="7"/>
        <v>4.0493055555552928</v>
      </c>
      <c r="I51" s="28">
        <f t="shared" si="8"/>
        <v>2002.0923611111207</v>
      </c>
      <c r="J51" s="36"/>
    </row>
    <row r="52" spans="2:10" x14ac:dyDescent="0.35">
      <c r="B52" s="10">
        <v>39</v>
      </c>
      <c r="C52" s="11">
        <f t="shared" si="1"/>
        <v>1998.0430555555577</v>
      </c>
      <c r="D52" s="11">
        <f t="shared" si="2"/>
        <v>1303.8763888888911</v>
      </c>
      <c r="E52" s="11">
        <f t="shared" si="3"/>
        <v>694.16666666666663</v>
      </c>
      <c r="F52" s="11">
        <f t="shared" si="4"/>
        <v>222827.50000000038</v>
      </c>
      <c r="H52" s="24">
        <f t="shared" si="7"/>
        <v>4.0493055555557476</v>
      </c>
      <c r="I52" s="28">
        <f t="shared" si="8"/>
        <v>1998.0430555555481</v>
      </c>
      <c r="J52" s="36"/>
    </row>
    <row r="53" spans="2:10" x14ac:dyDescent="0.35">
      <c r="B53" s="10">
        <v>40</v>
      </c>
      <c r="C53" s="11">
        <f t="shared" si="1"/>
        <v>1993.9937500000024</v>
      </c>
      <c r="D53" s="11">
        <f t="shared" si="2"/>
        <v>1299.8270833333356</v>
      </c>
      <c r="E53" s="11">
        <f t="shared" si="3"/>
        <v>694.16666666666663</v>
      </c>
      <c r="F53" s="11">
        <f t="shared" si="4"/>
        <v>222133.33333333372</v>
      </c>
      <c r="H53" s="24">
        <f t="shared" si="7"/>
        <v>4.0493055555552928</v>
      </c>
      <c r="I53" s="28">
        <f t="shared" si="8"/>
        <v>1993.9937500000101</v>
      </c>
      <c r="J53" s="36"/>
    </row>
    <row r="54" spans="2:10" x14ac:dyDescent="0.35">
      <c r="B54" s="10">
        <v>41</v>
      </c>
      <c r="C54" s="11">
        <f t="shared" si="1"/>
        <v>1989.9444444444466</v>
      </c>
      <c r="D54" s="11">
        <f t="shared" si="2"/>
        <v>1295.7777777777801</v>
      </c>
      <c r="E54" s="11">
        <f t="shared" si="3"/>
        <v>694.16666666666663</v>
      </c>
      <c r="F54" s="11">
        <f t="shared" si="4"/>
        <v>221439.16666666706</v>
      </c>
      <c r="H54" s="24">
        <f t="shared" si="7"/>
        <v>4.0493055555557476</v>
      </c>
      <c r="I54" s="28">
        <f t="shared" si="8"/>
        <v>1989.9444444444366</v>
      </c>
      <c r="J54" s="36"/>
    </row>
    <row r="55" spans="2:10" x14ac:dyDescent="0.35">
      <c r="B55" s="10">
        <v>42</v>
      </c>
      <c r="C55" s="11">
        <f t="shared" si="1"/>
        <v>1985.8951388888913</v>
      </c>
      <c r="D55" s="11">
        <f t="shared" si="2"/>
        <v>1291.7284722222246</v>
      </c>
      <c r="E55" s="11">
        <f t="shared" si="3"/>
        <v>694.16666666666663</v>
      </c>
      <c r="F55" s="11">
        <f t="shared" si="4"/>
        <v>220745.00000000041</v>
      </c>
      <c r="H55" s="24">
        <f t="shared" si="7"/>
        <v>4.0493055555552928</v>
      </c>
      <c r="I55" s="28">
        <f t="shared" si="8"/>
        <v>1985.8951388888995</v>
      </c>
      <c r="J55" s="36"/>
    </row>
    <row r="56" spans="2:10" x14ac:dyDescent="0.35">
      <c r="B56" s="10">
        <v>43</v>
      </c>
      <c r="C56" s="11">
        <f t="shared" si="1"/>
        <v>1981.8458333333356</v>
      </c>
      <c r="D56" s="11">
        <f t="shared" si="2"/>
        <v>1287.6791666666691</v>
      </c>
      <c r="E56" s="11">
        <f t="shared" si="3"/>
        <v>694.16666666666663</v>
      </c>
      <c r="F56" s="11">
        <f t="shared" si="4"/>
        <v>220050.83333333375</v>
      </c>
      <c r="H56" s="24">
        <f t="shared" si="7"/>
        <v>4.0493055555557476</v>
      </c>
      <c r="I56" s="28">
        <f t="shared" si="8"/>
        <v>1981.8458333333251</v>
      </c>
      <c r="J56" s="36"/>
    </row>
    <row r="57" spans="2:10" x14ac:dyDescent="0.35">
      <c r="B57" s="10">
        <v>44</v>
      </c>
      <c r="C57" s="11">
        <f t="shared" si="1"/>
        <v>1977.7965277777803</v>
      </c>
      <c r="D57" s="11">
        <f t="shared" si="2"/>
        <v>1283.6298611111135</v>
      </c>
      <c r="E57" s="11">
        <f t="shared" si="3"/>
        <v>694.16666666666663</v>
      </c>
      <c r="F57" s="11">
        <f t="shared" si="4"/>
        <v>219356.66666666709</v>
      </c>
      <c r="H57" s="24">
        <f t="shared" si="7"/>
        <v>4.0493055555552928</v>
      </c>
      <c r="I57" s="28">
        <f t="shared" si="8"/>
        <v>1977.7965277777889</v>
      </c>
      <c r="J57" s="36"/>
    </row>
    <row r="58" spans="2:10" x14ac:dyDescent="0.35">
      <c r="B58" s="10">
        <v>45</v>
      </c>
      <c r="C58" s="11">
        <f t="shared" si="1"/>
        <v>1973.7472222222245</v>
      </c>
      <c r="D58" s="11">
        <f t="shared" si="2"/>
        <v>1279.580555555558</v>
      </c>
      <c r="E58" s="11">
        <f t="shared" si="3"/>
        <v>694.16666666666663</v>
      </c>
      <c r="F58" s="11">
        <f t="shared" si="4"/>
        <v>218662.50000000044</v>
      </c>
      <c r="H58" s="24">
        <f t="shared" si="7"/>
        <v>4.0493055555557476</v>
      </c>
      <c r="I58" s="28">
        <f t="shared" si="8"/>
        <v>1973.7472222222136</v>
      </c>
      <c r="J58" s="36"/>
    </row>
    <row r="59" spans="2:10" x14ac:dyDescent="0.35">
      <c r="B59" s="10">
        <v>46</v>
      </c>
      <c r="C59" s="11">
        <f t="shared" si="1"/>
        <v>1969.6979166666692</v>
      </c>
      <c r="D59" s="11">
        <f t="shared" si="2"/>
        <v>1275.5312500000025</v>
      </c>
      <c r="E59" s="11">
        <f t="shared" si="3"/>
        <v>694.16666666666663</v>
      </c>
      <c r="F59" s="11">
        <f t="shared" si="4"/>
        <v>217968.33333333378</v>
      </c>
      <c r="H59" s="24">
        <f t="shared" si="7"/>
        <v>4.0493055555552928</v>
      </c>
      <c r="I59" s="28">
        <f t="shared" si="8"/>
        <v>1969.6979166666783</v>
      </c>
      <c r="J59" s="36"/>
    </row>
    <row r="60" spans="2:10" x14ac:dyDescent="0.35">
      <c r="B60" s="10">
        <v>47</v>
      </c>
      <c r="C60" s="11">
        <f t="shared" si="1"/>
        <v>1965.648611111114</v>
      </c>
      <c r="D60" s="11">
        <f t="shared" si="2"/>
        <v>1271.4819444444472</v>
      </c>
      <c r="E60" s="11">
        <f t="shared" si="3"/>
        <v>694.16666666666663</v>
      </c>
      <c r="F60" s="11">
        <f t="shared" si="4"/>
        <v>217274.16666666712</v>
      </c>
      <c r="H60" s="24">
        <f t="shared" si="7"/>
        <v>4.0493055555552928</v>
      </c>
      <c r="I60" s="28">
        <f t="shared" si="8"/>
        <v>1965.648611111123</v>
      </c>
      <c r="J60" s="36"/>
    </row>
    <row r="61" spans="2:10" x14ac:dyDescent="0.35">
      <c r="B61" s="10">
        <v>48</v>
      </c>
      <c r="C61" s="11">
        <f t="shared" si="1"/>
        <v>1961.5993055555582</v>
      </c>
      <c r="D61" s="11">
        <f t="shared" si="2"/>
        <v>1267.4326388888917</v>
      </c>
      <c r="E61" s="11">
        <f t="shared" si="3"/>
        <v>694.16666666666663</v>
      </c>
      <c r="F61" s="11">
        <f t="shared" si="4"/>
        <v>216580.00000000047</v>
      </c>
      <c r="H61" s="24">
        <f t="shared" si="7"/>
        <v>4.0493055555557476</v>
      </c>
      <c r="I61" s="28">
        <f t="shared" si="8"/>
        <v>1961.5993055555464</v>
      </c>
      <c r="J61" s="36"/>
    </row>
    <row r="62" spans="2:10" x14ac:dyDescent="0.35">
      <c r="B62" s="10">
        <v>49</v>
      </c>
      <c r="C62" s="11">
        <f t="shared" si="1"/>
        <v>1957.5500000000029</v>
      </c>
      <c r="D62" s="11">
        <f t="shared" si="2"/>
        <v>1263.3833333333362</v>
      </c>
      <c r="E62" s="11">
        <f t="shared" si="3"/>
        <v>694.16666666666663</v>
      </c>
      <c r="F62" s="11">
        <f t="shared" si="4"/>
        <v>215885.83333333381</v>
      </c>
      <c r="H62" s="24">
        <f t="shared" si="7"/>
        <v>4.0493055555552928</v>
      </c>
      <c r="I62" s="28">
        <f t="shared" si="8"/>
        <v>1957.5500000000125</v>
      </c>
      <c r="J62" s="36"/>
    </row>
    <row r="63" spans="2:10" x14ac:dyDescent="0.35">
      <c r="B63" s="10">
        <v>50</v>
      </c>
      <c r="C63" s="11">
        <f t="shared" si="1"/>
        <v>1953.5006944444472</v>
      </c>
      <c r="D63" s="11">
        <f t="shared" si="2"/>
        <v>1259.3340277777806</v>
      </c>
      <c r="E63" s="11">
        <f t="shared" si="3"/>
        <v>694.16666666666663</v>
      </c>
      <c r="F63" s="11">
        <f t="shared" si="4"/>
        <v>215191.66666666715</v>
      </c>
      <c r="H63" s="24">
        <f t="shared" si="7"/>
        <v>4.0493055555557476</v>
      </c>
      <c r="I63" s="28">
        <f t="shared" si="8"/>
        <v>1953.5006944444349</v>
      </c>
      <c r="J63" s="36"/>
    </row>
    <row r="64" spans="2:10" x14ac:dyDescent="0.35">
      <c r="B64" s="10">
        <v>51</v>
      </c>
      <c r="C64" s="11">
        <f t="shared" si="1"/>
        <v>1949.4513888888919</v>
      </c>
      <c r="D64" s="11">
        <f t="shared" si="2"/>
        <v>1255.2847222222251</v>
      </c>
      <c r="E64" s="11">
        <f t="shared" si="3"/>
        <v>694.16666666666663</v>
      </c>
      <c r="F64" s="11">
        <f t="shared" si="4"/>
        <v>214497.50000000049</v>
      </c>
      <c r="H64" s="24">
        <f t="shared" si="7"/>
        <v>4.0493055555552928</v>
      </c>
      <c r="I64" s="28">
        <f t="shared" si="8"/>
        <v>1949.4513888889019</v>
      </c>
      <c r="J64" s="36"/>
    </row>
    <row r="65" spans="2:10" x14ac:dyDescent="0.35">
      <c r="B65" s="10">
        <v>52</v>
      </c>
      <c r="C65" s="11">
        <f t="shared" si="1"/>
        <v>1945.4020833333361</v>
      </c>
      <c r="D65" s="11">
        <f t="shared" si="2"/>
        <v>1251.2354166666696</v>
      </c>
      <c r="E65" s="11">
        <f t="shared" si="3"/>
        <v>694.16666666666663</v>
      </c>
      <c r="F65" s="11">
        <f t="shared" si="4"/>
        <v>213803.33333333384</v>
      </c>
      <c r="H65" s="24">
        <f t="shared" si="7"/>
        <v>4.0493055555557476</v>
      </c>
      <c r="I65" s="28">
        <f t="shared" si="8"/>
        <v>1945.4020833333234</v>
      </c>
      <c r="J65" s="36"/>
    </row>
    <row r="66" spans="2:10" x14ac:dyDescent="0.35">
      <c r="B66" s="10">
        <v>53</v>
      </c>
      <c r="C66" s="11">
        <f t="shared" si="1"/>
        <v>1941.3527777777808</v>
      </c>
      <c r="D66" s="11">
        <f t="shared" si="2"/>
        <v>1247.1861111111141</v>
      </c>
      <c r="E66" s="11">
        <f t="shared" si="3"/>
        <v>694.16666666666663</v>
      </c>
      <c r="F66" s="11">
        <f t="shared" si="4"/>
        <v>213109.16666666718</v>
      </c>
      <c r="H66" s="24">
        <f t="shared" si="7"/>
        <v>4.0493055555552928</v>
      </c>
      <c r="I66" s="28">
        <f t="shared" si="8"/>
        <v>1941.3527777777913</v>
      </c>
      <c r="J66" s="36"/>
    </row>
    <row r="67" spans="2:10" x14ac:dyDescent="0.35">
      <c r="B67" s="10">
        <v>54</v>
      </c>
      <c r="C67" s="11">
        <f t="shared" si="1"/>
        <v>1937.3034722222251</v>
      </c>
      <c r="D67" s="11">
        <f t="shared" si="2"/>
        <v>1243.1368055555586</v>
      </c>
      <c r="E67" s="11">
        <f t="shared" si="3"/>
        <v>694.16666666666663</v>
      </c>
      <c r="F67" s="11">
        <f t="shared" si="4"/>
        <v>212415.00000000052</v>
      </c>
      <c r="H67" s="24">
        <f t="shared" si="7"/>
        <v>4.0493055555557476</v>
      </c>
      <c r="I67" s="28">
        <f t="shared" si="8"/>
        <v>1937.3034722222119</v>
      </c>
      <c r="J67" s="36"/>
    </row>
    <row r="68" spans="2:10" x14ac:dyDescent="0.35">
      <c r="B68" s="10">
        <v>55</v>
      </c>
      <c r="C68" s="11">
        <f t="shared" si="1"/>
        <v>1933.2541666666698</v>
      </c>
      <c r="D68" s="11">
        <f t="shared" si="2"/>
        <v>1239.087500000003</v>
      </c>
      <c r="E68" s="11">
        <f t="shared" si="3"/>
        <v>694.16666666666663</v>
      </c>
      <c r="F68" s="11">
        <f t="shared" si="4"/>
        <v>211720.83333333387</v>
      </c>
      <c r="H68" s="24">
        <f t="shared" si="7"/>
        <v>4.0493055555552928</v>
      </c>
      <c r="I68" s="28">
        <f t="shared" si="8"/>
        <v>1933.2541666666807</v>
      </c>
      <c r="J68" s="36"/>
    </row>
    <row r="69" spans="2:10" x14ac:dyDescent="0.35">
      <c r="B69" s="10">
        <v>56</v>
      </c>
      <c r="C69" s="11">
        <f t="shared" si="1"/>
        <v>1929.204861111114</v>
      </c>
      <c r="D69" s="11">
        <f t="shared" si="2"/>
        <v>1235.0381944444475</v>
      </c>
      <c r="E69" s="11">
        <f t="shared" si="3"/>
        <v>694.16666666666663</v>
      </c>
      <c r="F69" s="11">
        <f t="shared" si="4"/>
        <v>211026.66666666721</v>
      </c>
      <c r="H69" s="24">
        <f t="shared" si="7"/>
        <v>4.0493055555557476</v>
      </c>
      <c r="I69" s="28">
        <f t="shared" si="8"/>
        <v>1929.2048611111004</v>
      </c>
      <c r="J69" s="36"/>
    </row>
    <row r="70" spans="2:10" x14ac:dyDescent="0.35">
      <c r="B70" s="10">
        <v>57</v>
      </c>
      <c r="C70" s="11">
        <f t="shared" si="1"/>
        <v>1925.1555555555587</v>
      </c>
      <c r="D70" s="11">
        <f t="shared" si="2"/>
        <v>1230.988888888892</v>
      </c>
      <c r="E70" s="11">
        <f t="shared" si="3"/>
        <v>694.16666666666663</v>
      </c>
      <c r="F70" s="11">
        <f t="shared" si="4"/>
        <v>210332.50000000055</v>
      </c>
      <c r="H70" s="24">
        <f t="shared" si="7"/>
        <v>4.0493055555552928</v>
      </c>
      <c r="I70" s="28">
        <f t="shared" si="8"/>
        <v>1925.1555555555701</v>
      </c>
      <c r="J70" s="36"/>
    </row>
    <row r="71" spans="2:10" x14ac:dyDescent="0.35">
      <c r="B71" s="10">
        <v>58</v>
      </c>
      <c r="C71" s="11">
        <f t="shared" si="1"/>
        <v>1921.1062500000035</v>
      </c>
      <c r="D71" s="11">
        <f t="shared" si="2"/>
        <v>1226.9395833333367</v>
      </c>
      <c r="E71" s="11">
        <f t="shared" si="3"/>
        <v>694.16666666666663</v>
      </c>
      <c r="F71" s="11">
        <f t="shared" si="4"/>
        <v>209638.3333333339</v>
      </c>
      <c r="H71" s="24">
        <f t="shared" si="7"/>
        <v>4.0493055555552928</v>
      </c>
      <c r="I71" s="28">
        <f t="shared" si="8"/>
        <v>1921.1062500000148</v>
      </c>
      <c r="J71" s="36"/>
    </row>
    <row r="72" spans="2:10" x14ac:dyDescent="0.35">
      <c r="B72" s="10">
        <v>59</v>
      </c>
      <c r="C72" s="11">
        <f t="shared" si="1"/>
        <v>1917.0569444444477</v>
      </c>
      <c r="D72" s="11">
        <f t="shared" si="2"/>
        <v>1222.8902777777812</v>
      </c>
      <c r="E72" s="11">
        <f t="shared" si="3"/>
        <v>694.16666666666663</v>
      </c>
      <c r="F72" s="11">
        <f t="shared" si="4"/>
        <v>208944.16666666724</v>
      </c>
      <c r="H72" s="24">
        <f t="shared" si="7"/>
        <v>4.0493055555557476</v>
      </c>
      <c r="I72" s="28">
        <f t="shared" si="8"/>
        <v>1917.0569444444332</v>
      </c>
      <c r="J72" s="36"/>
    </row>
    <row r="73" spans="2:10" x14ac:dyDescent="0.35">
      <c r="B73" s="10">
        <v>60</v>
      </c>
      <c r="C73" s="11">
        <f t="shared" si="1"/>
        <v>1913.0076388888924</v>
      </c>
      <c r="D73" s="11">
        <f t="shared" si="2"/>
        <v>1218.8409722222257</v>
      </c>
      <c r="E73" s="11">
        <f t="shared" si="3"/>
        <v>694.16666666666663</v>
      </c>
      <c r="F73" s="11">
        <f t="shared" si="4"/>
        <v>208250.00000000058</v>
      </c>
      <c r="H73" s="24">
        <f t="shared" si="7"/>
        <v>4.0493055555552928</v>
      </c>
      <c r="I73" s="28">
        <f t="shared" si="8"/>
        <v>1913.0076388889042</v>
      </c>
      <c r="J73" s="36"/>
    </row>
    <row r="74" spans="2:10" x14ac:dyDescent="0.35">
      <c r="B74" s="10">
        <v>61</v>
      </c>
      <c r="C74" s="11">
        <f t="shared" si="1"/>
        <v>1908.9583333333367</v>
      </c>
      <c r="D74" s="11">
        <f t="shared" si="2"/>
        <v>1214.7916666666702</v>
      </c>
      <c r="E74" s="11">
        <f t="shared" si="3"/>
        <v>694.16666666666663</v>
      </c>
      <c r="F74" s="11">
        <f t="shared" si="4"/>
        <v>207555.83333333393</v>
      </c>
      <c r="H74" s="24">
        <f t="shared" si="7"/>
        <v>4.0493055555557476</v>
      </c>
      <c r="I74" s="28">
        <f t="shared" si="8"/>
        <v>1908.9583333333217</v>
      </c>
      <c r="J74" s="36"/>
    </row>
    <row r="75" spans="2:10" x14ac:dyDescent="0.35">
      <c r="B75" s="10">
        <v>62</v>
      </c>
      <c r="C75" s="11">
        <f t="shared" si="1"/>
        <v>1904.9090277777814</v>
      </c>
      <c r="D75" s="11">
        <f t="shared" si="2"/>
        <v>1210.7423611111146</v>
      </c>
      <c r="E75" s="11">
        <f t="shared" si="3"/>
        <v>694.16666666666663</v>
      </c>
      <c r="F75" s="11">
        <f t="shared" si="4"/>
        <v>206861.66666666727</v>
      </c>
      <c r="H75" s="24">
        <f t="shared" si="7"/>
        <v>4.0493055555552928</v>
      </c>
      <c r="I75" s="28">
        <f t="shared" si="8"/>
        <v>1904.9090277777937</v>
      </c>
      <c r="J75" s="36"/>
    </row>
    <row r="76" spans="2:10" x14ac:dyDescent="0.35">
      <c r="B76" s="10">
        <v>63</v>
      </c>
      <c r="C76" s="11">
        <f t="shared" si="1"/>
        <v>1900.8597222222256</v>
      </c>
      <c r="D76" s="11">
        <f t="shared" si="2"/>
        <v>1206.6930555555591</v>
      </c>
      <c r="E76" s="11">
        <f t="shared" si="3"/>
        <v>694.16666666666663</v>
      </c>
      <c r="F76" s="11">
        <f t="shared" si="4"/>
        <v>206167.50000000061</v>
      </c>
      <c r="H76" s="24">
        <f t="shared" si="7"/>
        <v>4.0493055555557476</v>
      </c>
      <c r="I76" s="28">
        <f t="shared" si="8"/>
        <v>1900.8597222222102</v>
      </c>
      <c r="J76" s="36"/>
    </row>
    <row r="77" spans="2:10" x14ac:dyDescent="0.35">
      <c r="B77" s="10">
        <v>64</v>
      </c>
      <c r="C77" s="11">
        <f t="shared" si="1"/>
        <v>1896.8104166666703</v>
      </c>
      <c r="D77" s="11">
        <f t="shared" si="2"/>
        <v>1202.6437500000036</v>
      </c>
      <c r="E77" s="11">
        <f t="shared" si="3"/>
        <v>694.16666666666663</v>
      </c>
      <c r="F77" s="11">
        <f t="shared" si="4"/>
        <v>205473.33333333395</v>
      </c>
      <c r="H77" s="24">
        <f t="shared" si="7"/>
        <v>4.0493055555552928</v>
      </c>
      <c r="I77" s="28">
        <f t="shared" si="8"/>
        <v>1896.8104166666831</v>
      </c>
      <c r="J77" s="36"/>
    </row>
    <row r="78" spans="2:10" x14ac:dyDescent="0.35">
      <c r="B78" s="10">
        <v>65</v>
      </c>
      <c r="C78" s="11">
        <f t="shared" si="1"/>
        <v>1892.7611111111146</v>
      </c>
      <c r="D78" s="11">
        <f t="shared" si="2"/>
        <v>1198.5944444444481</v>
      </c>
      <c r="E78" s="11">
        <f t="shared" si="3"/>
        <v>694.16666666666663</v>
      </c>
      <c r="F78" s="11">
        <f t="shared" si="4"/>
        <v>204779.1666666673</v>
      </c>
      <c r="H78" s="24">
        <f t="shared" si="7"/>
        <v>4.0493055555557476</v>
      </c>
      <c r="I78" s="28">
        <f t="shared" si="8"/>
        <v>1892.7611111110987</v>
      </c>
      <c r="J78" s="36"/>
    </row>
    <row r="79" spans="2:10" x14ac:dyDescent="0.35">
      <c r="B79" s="10">
        <v>66</v>
      </c>
      <c r="C79" s="11">
        <f t="shared" ref="C79:C142" si="9">D79+E79</f>
        <v>1888.7118055555593</v>
      </c>
      <c r="D79" s="11">
        <f t="shared" ref="D79:D142" si="10">F78*$C$5</f>
        <v>1194.5451388888926</v>
      </c>
      <c r="E79" s="11">
        <f t="shared" ref="E79:E142" si="11">$C$10</f>
        <v>694.16666666666663</v>
      </c>
      <c r="F79" s="11">
        <f t="shared" ref="F79:F142" si="12">F78-E79</f>
        <v>204085.00000000064</v>
      </c>
      <c r="H79" s="24">
        <f t="shared" si="7"/>
        <v>4.0493055555552928</v>
      </c>
      <c r="I79" s="28">
        <f t="shared" si="8"/>
        <v>1888.7118055555725</v>
      </c>
      <c r="J79" s="36"/>
    </row>
    <row r="80" spans="2:10" x14ac:dyDescent="0.35">
      <c r="B80" s="10">
        <v>67</v>
      </c>
      <c r="C80" s="11">
        <f t="shared" si="9"/>
        <v>1884.6625000000035</v>
      </c>
      <c r="D80" s="11">
        <f t="shared" si="10"/>
        <v>1190.495833333337</v>
      </c>
      <c r="E80" s="11">
        <f t="shared" si="11"/>
        <v>694.16666666666663</v>
      </c>
      <c r="F80" s="11">
        <f t="shared" si="12"/>
        <v>203390.83333333398</v>
      </c>
      <c r="H80" s="24">
        <f t="shared" si="7"/>
        <v>4.0493055555557476</v>
      </c>
      <c r="I80" s="28">
        <f t="shared" si="8"/>
        <v>1884.6624999999872</v>
      </c>
      <c r="J80" s="36"/>
    </row>
    <row r="81" spans="2:10" x14ac:dyDescent="0.35">
      <c r="B81" s="10">
        <v>68</v>
      </c>
      <c r="C81" s="11">
        <f t="shared" si="9"/>
        <v>1880.6131944444483</v>
      </c>
      <c r="D81" s="11">
        <f t="shared" si="10"/>
        <v>1186.4465277777815</v>
      </c>
      <c r="E81" s="11">
        <f t="shared" si="11"/>
        <v>694.16666666666663</v>
      </c>
      <c r="F81" s="11">
        <f t="shared" si="12"/>
        <v>202696.66666666733</v>
      </c>
      <c r="H81" s="24">
        <f t="shared" si="7"/>
        <v>4.0493055555552928</v>
      </c>
      <c r="I81" s="28">
        <f t="shared" si="8"/>
        <v>1880.6131944444619</v>
      </c>
      <c r="J81" s="36"/>
    </row>
    <row r="82" spans="2:10" x14ac:dyDescent="0.35">
      <c r="B82" s="10">
        <v>69</v>
      </c>
      <c r="C82" s="11">
        <f t="shared" si="9"/>
        <v>1876.563888888893</v>
      </c>
      <c r="D82" s="11">
        <f t="shared" si="10"/>
        <v>1182.3972222222262</v>
      </c>
      <c r="E82" s="11">
        <f t="shared" si="11"/>
        <v>694.16666666666663</v>
      </c>
      <c r="F82" s="11">
        <f t="shared" si="12"/>
        <v>202002.50000000067</v>
      </c>
      <c r="H82" s="24">
        <f t="shared" si="7"/>
        <v>4.0493055555552928</v>
      </c>
      <c r="I82" s="28">
        <f t="shared" si="8"/>
        <v>1876.5638888889066</v>
      </c>
      <c r="J82" s="36"/>
    </row>
    <row r="83" spans="2:10" x14ac:dyDescent="0.35">
      <c r="B83" s="10">
        <v>70</v>
      </c>
      <c r="C83" s="11">
        <f t="shared" si="9"/>
        <v>1872.5145833333372</v>
      </c>
      <c r="D83" s="11">
        <f t="shared" si="10"/>
        <v>1178.3479166666707</v>
      </c>
      <c r="E83" s="11">
        <f t="shared" si="11"/>
        <v>694.16666666666663</v>
      </c>
      <c r="F83" s="11">
        <f t="shared" si="12"/>
        <v>201308.33333333401</v>
      </c>
      <c r="H83" s="24">
        <f t="shared" si="7"/>
        <v>4.0493055555557476</v>
      </c>
      <c r="I83" s="28">
        <f t="shared" si="8"/>
        <v>1872.5145833333199</v>
      </c>
      <c r="J83" s="36"/>
    </row>
    <row r="84" spans="2:10" x14ac:dyDescent="0.35">
      <c r="B84" s="10">
        <v>71</v>
      </c>
      <c r="C84" s="11">
        <f t="shared" si="9"/>
        <v>1868.4652777777819</v>
      </c>
      <c r="D84" s="11">
        <f t="shared" si="10"/>
        <v>1174.2986111111152</v>
      </c>
      <c r="E84" s="11">
        <f t="shared" si="11"/>
        <v>694.16666666666663</v>
      </c>
      <c r="F84" s="11">
        <f t="shared" si="12"/>
        <v>200614.16666666736</v>
      </c>
      <c r="H84" s="24">
        <f t="shared" si="7"/>
        <v>4.0493055555552928</v>
      </c>
      <c r="I84" s="28">
        <f t="shared" si="8"/>
        <v>1868.465277777796</v>
      </c>
      <c r="J84" s="36"/>
    </row>
    <row r="85" spans="2:10" x14ac:dyDescent="0.35">
      <c r="B85" s="10">
        <v>72</v>
      </c>
      <c r="C85" s="11">
        <f t="shared" si="9"/>
        <v>1864.4159722222262</v>
      </c>
      <c r="D85" s="11">
        <f t="shared" si="10"/>
        <v>1170.2493055555597</v>
      </c>
      <c r="E85" s="11">
        <f t="shared" si="11"/>
        <v>694.16666666666663</v>
      </c>
      <c r="F85" s="11">
        <f t="shared" si="12"/>
        <v>199920.0000000007</v>
      </c>
      <c r="H85" s="24">
        <f t="shared" si="7"/>
        <v>4.0493055555557476</v>
      </c>
      <c r="I85" s="28">
        <f t="shared" si="8"/>
        <v>1864.4159722222084</v>
      </c>
      <c r="J85" s="36"/>
    </row>
    <row r="86" spans="2:10" x14ac:dyDescent="0.35">
      <c r="B86" s="10">
        <v>73</v>
      </c>
      <c r="C86" s="11">
        <f t="shared" si="9"/>
        <v>1860.3666666666709</v>
      </c>
      <c r="D86" s="11">
        <f t="shared" si="10"/>
        <v>1166.2000000000041</v>
      </c>
      <c r="E86" s="11">
        <f t="shared" si="11"/>
        <v>694.16666666666663</v>
      </c>
      <c r="F86" s="11">
        <f t="shared" si="12"/>
        <v>199225.83333333404</v>
      </c>
      <c r="H86" s="24">
        <f t="shared" si="7"/>
        <v>4.0493055555552928</v>
      </c>
      <c r="I86" s="28">
        <f t="shared" si="8"/>
        <v>1860.3666666666854</v>
      </c>
      <c r="J86" s="36"/>
    </row>
    <row r="87" spans="2:10" x14ac:dyDescent="0.35">
      <c r="B87" s="10">
        <v>74</v>
      </c>
      <c r="C87" s="11">
        <f t="shared" si="9"/>
        <v>1856.3173611111151</v>
      </c>
      <c r="D87" s="11">
        <f t="shared" si="10"/>
        <v>1162.1506944444486</v>
      </c>
      <c r="E87" s="11">
        <f t="shared" si="11"/>
        <v>694.16666666666663</v>
      </c>
      <c r="F87" s="11">
        <f t="shared" si="12"/>
        <v>198531.66666666738</v>
      </c>
      <c r="H87" s="24">
        <f t="shared" si="7"/>
        <v>4.0493055555557476</v>
      </c>
      <c r="I87" s="28">
        <f t="shared" si="8"/>
        <v>1856.3173611110969</v>
      </c>
      <c r="J87" s="36"/>
    </row>
    <row r="88" spans="2:10" x14ac:dyDescent="0.35">
      <c r="B88" s="10">
        <v>75</v>
      </c>
      <c r="C88" s="11">
        <f t="shared" si="9"/>
        <v>1852.2680555555598</v>
      </c>
      <c r="D88" s="11">
        <f t="shared" si="10"/>
        <v>1158.1013888888931</v>
      </c>
      <c r="E88" s="11">
        <f t="shared" si="11"/>
        <v>694.16666666666663</v>
      </c>
      <c r="F88" s="11">
        <f t="shared" si="12"/>
        <v>197837.50000000073</v>
      </c>
      <c r="H88" s="24">
        <f t="shared" si="7"/>
        <v>4.0493055555552928</v>
      </c>
      <c r="I88" s="28">
        <f t="shared" si="8"/>
        <v>1852.2680555555748</v>
      </c>
      <c r="J88" s="36"/>
    </row>
    <row r="89" spans="2:10" x14ac:dyDescent="0.35">
      <c r="B89" s="10">
        <v>76</v>
      </c>
      <c r="C89" s="11">
        <f t="shared" si="9"/>
        <v>1848.2187500000041</v>
      </c>
      <c r="D89" s="11">
        <f t="shared" si="10"/>
        <v>1154.0520833333376</v>
      </c>
      <c r="E89" s="11">
        <f t="shared" si="11"/>
        <v>694.16666666666663</v>
      </c>
      <c r="F89" s="11">
        <f t="shared" si="12"/>
        <v>197143.33333333407</v>
      </c>
      <c r="H89" s="24">
        <f t="shared" si="7"/>
        <v>4.0493055555557476</v>
      </c>
      <c r="I89" s="28">
        <f t="shared" si="8"/>
        <v>1848.2187499999854</v>
      </c>
      <c r="J89" s="36"/>
    </row>
    <row r="90" spans="2:10" x14ac:dyDescent="0.35">
      <c r="B90" s="10">
        <v>77</v>
      </c>
      <c r="C90" s="11">
        <f t="shared" si="9"/>
        <v>1844.1694444444488</v>
      </c>
      <c r="D90" s="11">
        <f t="shared" si="10"/>
        <v>1150.0027777777821</v>
      </c>
      <c r="E90" s="11">
        <f t="shared" si="11"/>
        <v>694.16666666666663</v>
      </c>
      <c r="F90" s="11">
        <f t="shared" si="12"/>
        <v>196449.16666666741</v>
      </c>
      <c r="H90" s="24">
        <f t="shared" si="7"/>
        <v>4.0493055555552928</v>
      </c>
      <c r="I90" s="28">
        <f t="shared" si="8"/>
        <v>1844.1694444444643</v>
      </c>
      <c r="J90" s="36"/>
    </row>
    <row r="91" spans="2:10" x14ac:dyDescent="0.35">
      <c r="B91" s="10">
        <v>78</v>
      </c>
      <c r="C91" s="11">
        <f t="shared" si="9"/>
        <v>1840.1201388888931</v>
      </c>
      <c r="D91" s="11">
        <f t="shared" si="10"/>
        <v>1145.9534722222265</v>
      </c>
      <c r="E91" s="11">
        <f t="shared" si="11"/>
        <v>694.16666666666663</v>
      </c>
      <c r="F91" s="11">
        <f t="shared" si="12"/>
        <v>195755.00000000076</v>
      </c>
      <c r="H91" s="24">
        <f t="shared" si="7"/>
        <v>4.0493055555557476</v>
      </c>
      <c r="I91" s="28">
        <f t="shared" si="8"/>
        <v>1840.120138888874</v>
      </c>
      <c r="J91" s="36"/>
    </row>
    <row r="92" spans="2:10" x14ac:dyDescent="0.35">
      <c r="B92" s="10">
        <v>79</v>
      </c>
      <c r="C92" s="11">
        <f t="shared" si="9"/>
        <v>1836.0708333333378</v>
      </c>
      <c r="D92" s="11">
        <f t="shared" si="10"/>
        <v>1141.9041666666712</v>
      </c>
      <c r="E92" s="11">
        <f t="shared" si="11"/>
        <v>694.16666666666663</v>
      </c>
      <c r="F92" s="11">
        <f t="shared" si="12"/>
        <v>195060.8333333341</v>
      </c>
      <c r="H92" s="24">
        <f t="shared" si="7"/>
        <v>4.0493055555552928</v>
      </c>
      <c r="I92" s="28">
        <f t="shared" si="8"/>
        <v>1836.0708333333537</v>
      </c>
      <c r="J92" s="36"/>
    </row>
    <row r="93" spans="2:10" x14ac:dyDescent="0.35">
      <c r="B93" s="10">
        <v>80</v>
      </c>
      <c r="C93" s="11">
        <f t="shared" si="9"/>
        <v>1832.0215277777825</v>
      </c>
      <c r="D93" s="11">
        <f t="shared" si="10"/>
        <v>1137.8548611111157</v>
      </c>
      <c r="E93" s="11">
        <f t="shared" si="11"/>
        <v>694.16666666666663</v>
      </c>
      <c r="F93" s="11">
        <f t="shared" si="12"/>
        <v>194366.66666666744</v>
      </c>
      <c r="H93" s="24">
        <f t="shared" si="7"/>
        <v>4.0493055555552928</v>
      </c>
      <c r="I93" s="28">
        <f t="shared" si="8"/>
        <v>1832.0215277777984</v>
      </c>
      <c r="J93" s="36"/>
    </row>
    <row r="94" spans="2:10" x14ac:dyDescent="0.35">
      <c r="B94" s="10">
        <v>81</v>
      </c>
      <c r="C94" s="11">
        <f t="shared" si="9"/>
        <v>1827.9722222222267</v>
      </c>
      <c r="D94" s="11">
        <f t="shared" si="10"/>
        <v>1133.8055555555602</v>
      </c>
      <c r="E94" s="11">
        <f t="shared" si="11"/>
        <v>694.16666666666663</v>
      </c>
      <c r="F94" s="11">
        <f t="shared" si="12"/>
        <v>193672.50000000079</v>
      </c>
      <c r="H94" s="24">
        <f t="shared" si="7"/>
        <v>4.0493055555557476</v>
      </c>
      <c r="I94" s="28">
        <f t="shared" si="8"/>
        <v>1827.9722222222067</v>
      </c>
      <c r="J94" s="36"/>
    </row>
    <row r="95" spans="2:10" x14ac:dyDescent="0.35">
      <c r="B95" s="10">
        <v>82</v>
      </c>
      <c r="C95" s="11">
        <f t="shared" si="9"/>
        <v>1823.9229166666714</v>
      </c>
      <c r="D95" s="11">
        <f t="shared" si="10"/>
        <v>1129.7562500000047</v>
      </c>
      <c r="E95" s="11">
        <f t="shared" si="11"/>
        <v>694.16666666666663</v>
      </c>
      <c r="F95" s="11">
        <f t="shared" si="12"/>
        <v>192978.33333333413</v>
      </c>
      <c r="H95" s="24">
        <f t="shared" si="7"/>
        <v>4.0493055555552928</v>
      </c>
      <c r="I95" s="28">
        <f t="shared" si="8"/>
        <v>1823.9229166666878</v>
      </c>
      <c r="J95" s="36"/>
    </row>
    <row r="96" spans="2:10" x14ac:dyDescent="0.35">
      <c r="B96" s="10">
        <v>83</v>
      </c>
      <c r="C96" s="11">
        <f t="shared" si="9"/>
        <v>1819.8736111111157</v>
      </c>
      <c r="D96" s="11">
        <f t="shared" si="10"/>
        <v>1125.7069444444492</v>
      </c>
      <c r="E96" s="11">
        <f t="shared" si="11"/>
        <v>694.16666666666663</v>
      </c>
      <c r="F96" s="11">
        <f t="shared" si="12"/>
        <v>192284.16666666747</v>
      </c>
      <c r="H96" s="24">
        <f t="shared" si="7"/>
        <v>4.0493055555557476</v>
      </c>
      <c r="I96" s="28">
        <f t="shared" si="8"/>
        <v>1819.8736111110952</v>
      </c>
      <c r="J96" s="36"/>
    </row>
    <row r="97" spans="2:10" x14ac:dyDescent="0.35">
      <c r="B97" s="10">
        <v>84</v>
      </c>
      <c r="C97" s="11">
        <f t="shared" si="9"/>
        <v>1815.8243055555604</v>
      </c>
      <c r="D97" s="11">
        <f t="shared" si="10"/>
        <v>1121.6576388888936</v>
      </c>
      <c r="E97" s="11">
        <f t="shared" si="11"/>
        <v>694.16666666666663</v>
      </c>
      <c r="F97" s="11">
        <f t="shared" si="12"/>
        <v>191590.00000000081</v>
      </c>
      <c r="H97" s="24">
        <f t="shared" si="7"/>
        <v>4.0493055555552928</v>
      </c>
      <c r="I97" s="28">
        <f t="shared" si="8"/>
        <v>1815.8243055555772</v>
      </c>
      <c r="J97" s="36"/>
    </row>
    <row r="98" spans="2:10" x14ac:dyDescent="0.35">
      <c r="B98" s="10">
        <v>85</v>
      </c>
      <c r="C98" s="11">
        <f t="shared" si="9"/>
        <v>1811.7750000000046</v>
      </c>
      <c r="D98" s="11">
        <f t="shared" si="10"/>
        <v>1117.6083333333381</v>
      </c>
      <c r="E98" s="11">
        <f t="shared" si="11"/>
        <v>694.16666666666663</v>
      </c>
      <c r="F98" s="11">
        <f t="shared" si="12"/>
        <v>190895.83333333416</v>
      </c>
      <c r="H98" s="24">
        <f t="shared" si="7"/>
        <v>4.0493055555557476</v>
      </c>
      <c r="I98" s="28">
        <f t="shared" si="8"/>
        <v>1811.7749999999837</v>
      </c>
      <c r="J98" s="36"/>
    </row>
    <row r="99" spans="2:10" x14ac:dyDescent="0.35">
      <c r="B99" s="10">
        <v>86</v>
      </c>
      <c r="C99" s="11">
        <f t="shared" si="9"/>
        <v>1807.7256944444493</v>
      </c>
      <c r="D99" s="11">
        <f t="shared" si="10"/>
        <v>1113.5590277777826</v>
      </c>
      <c r="E99" s="11">
        <f t="shared" si="11"/>
        <v>694.16666666666663</v>
      </c>
      <c r="F99" s="11">
        <f t="shared" si="12"/>
        <v>190201.6666666675</v>
      </c>
      <c r="H99" s="24">
        <f t="shared" si="7"/>
        <v>4.0493055555552928</v>
      </c>
      <c r="I99" s="28">
        <f t="shared" si="8"/>
        <v>1807.7256944444666</v>
      </c>
      <c r="J99" s="36"/>
    </row>
    <row r="100" spans="2:10" x14ac:dyDescent="0.35">
      <c r="B100" s="10">
        <v>87</v>
      </c>
      <c r="C100" s="11">
        <f t="shared" si="9"/>
        <v>1803.6763888888936</v>
      </c>
      <c r="D100" s="11">
        <f t="shared" si="10"/>
        <v>1109.5097222222271</v>
      </c>
      <c r="E100" s="11">
        <f t="shared" si="11"/>
        <v>694.16666666666663</v>
      </c>
      <c r="F100" s="11">
        <f t="shared" si="12"/>
        <v>189507.50000000084</v>
      </c>
      <c r="H100" s="24">
        <f t="shared" si="7"/>
        <v>4.0493055555557476</v>
      </c>
      <c r="I100" s="28">
        <f t="shared" si="8"/>
        <v>1803.6763888888722</v>
      </c>
      <c r="J100" s="36"/>
    </row>
    <row r="101" spans="2:10" x14ac:dyDescent="0.35">
      <c r="B101" s="10">
        <v>88</v>
      </c>
      <c r="C101" s="11">
        <f t="shared" si="9"/>
        <v>1799.6270833333383</v>
      </c>
      <c r="D101" s="11">
        <f t="shared" si="10"/>
        <v>1105.4604166666716</v>
      </c>
      <c r="E101" s="11">
        <f t="shared" si="11"/>
        <v>694.16666666666663</v>
      </c>
      <c r="F101" s="11">
        <f t="shared" si="12"/>
        <v>188813.33333333419</v>
      </c>
      <c r="H101" s="24">
        <f t="shared" si="7"/>
        <v>4.0493055555552928</v>
      </c>
      <c r="I101" s="28">
        <f t="shared" si="8"/>
        <v>1799.627083333356</v>
      </c>
      <c r="J101" s="36"/>
    </row>
    <row r="102" spans="2:10" x14ac:dyDescent="0.35">
      <c r="B102" s="10">
        <v>89</v>
      </c>
      <c r="C102" s="11">
        <f t="shared" si="9"/>
        <v>1795.5777777777826</v>
      </c>
      <c r="D102" s="11">
        <f t="shared" si="10"/>
        <v>1101.411111111116</v>
      </c>
      <c r="E102" s="11">
        <f t="shared" si="11"/>
        <v>694.16666666666663</v>
      </c>
      <c r="F102" s="11">
        <f t="shared" si="12"/>
        <v>188119.16666666753</v>
      </c>
      <c r="H102" s="24">
        <f t="shared" si="7"/>
        <v>4.0493055555557476</v>
      </c>
      <c r="I102" s="28">
        <f t="shared" si="8"/>
        <v>1795.5777777777607</v>
      </c>
      <c r="J102" s="36"/>
    </row>
    <row r="103" spans="2:10" x14ac:dyDescent="0.35">
      <c r="B103" s="10">
        <v>90</v>
      </c>
      <c r="C103" s="11">
        <f t="shared" si="9"/>
        <v>1791.5284722222273</v>
      </c>
      <c r="D103" s="11">
        <f t="shared" si="10"/>
        <v>1097.3618055555607</v>
      </c>
      <c r="E103" s="11">
        <f t="shared" si="11"/>
        <v>694.16666666666663</v>
      </c>
      <c r="F103" s="11">
        <f t="shared" si="12"/>
        <v>187425.00000000087</v>
      </c>
      <c r="H103" s="24">
        <f t="shared" si="7"/>
        <v>4.0493055555552928</v>
      </c>
      <c r="I103" s="28">
        <f t="shared" si="8"/>
        <v>1791.5284722222455</v>
      </c>
      <c r="J103" s="36"/>
    </row>
    <row r="104" spans="2:10" x14ac:dyDescent="0.35">
      <c r="B104" s="10">
        <v>91</v>
      </c>
      <c r="C104" s="11">
        <f t="shared" si="9"/>
        <v>1787.479166666672</v>
      </c>
      <c r="D104" s="11">
        <f t="shared" si="10"/>
        <v>1093.3125000000052</v>
      </c>
      <c r="E104" s="11">
        <f t="shared" si="11"/>
        <v>694.16666666666663</v>
      </c>
      <c r="F104" s="11">
        <f t="shared" si="12"/>
        <v>186730.83333333422</v>
      </c>
      <c r="H104" s="24">
        <f t="shared" si="7"/>
        <v>4.0493055555552928</v>
      </c>
      <c r="I104" s="28">
        <f t="shared" si="8"/>
        <v>1787.4791666666902</v>
      </c>
      <c r="J104" s="36"/>
    </row>
    <row r="105" spans="2:10" x14ac:dyDescent="0.35">
      <c r="B105" s="10">
        <v>92</v>
      </c>
      <c r="C105" s="11">
        <f t="shared" si="9"/>
        <v>1783.4298611111162</v>
      </c>
      <c r="D105" s="11">
        <f t="shared" si="10"/>
        <v>1089.2631944444497</v>
      </c>
      <c r="E105" s="11">
        <f t="shared" si="11"/>
        <v>694.16666666666663</v>
      </c>
      <c r="F105" s="11">
        <f t="shared" si="12"/>
        <v>186036.66666666756</v>
      </c>
      <c r="H105" s="24">
        <f t="shared" si="7"/>
        <v>4.0493055555557476</v>
      </c>
      <c r="I105" s="28">
        <f t="shared" si="8"/>
        <v>1783.4298611110935</v>
      </c>
      <c r="J105" s="36"/>
    </row>
    <row r="106" spans="2:10" x14ac:dyDescent="0.35">
      <c r="B106" s="10">
        <v>93</v>
      </c>
      <c r="C106" s="11">
        <f t="shared" si="9"/>
        <v>1779.3805555555609</v>
      </c>
      <c r="D106" s="11">
        <f t="shared" si="10"/>
        <v>1085.2138888888942</v>
      </c>
      <c r="E106" s="11">
        <f t="shared" si="11"/>
        <v>694.16666666666663</v>
      </c>
      <c r="F106" s="11">
        <f t="shared" si="12"/>
        <v>185342.5000000009</v>
      </c>
      <c r="H106" s="24">
        <f t="shared" si="7"/>
        <v>4.0493055555552928</v>
      </c>
      <c r="I106" s="28">
        <f t="shared" si="8"/>
        <v>1779.3805555555796</v>
      </c>
      <c r="J106" s="36"/>
    </row>
    <row r="107" spans="2:10" x14ac:dyDescent="0.35">
      <c r="B107" s="10">
        <v>94</v>
      </c>
      <c r="C107" s="11">
        <f t="shared" si="9"/>
        <v>1775.3312500000052</v>
      </c>
      <c r="D107" s="11">
        <f t="shared" si="10"/>
        <v>1081.1645833333387</v>
      </c>
      <c r="E107" s="11">
        <f t="shared" si="11"/>
        <v>694.16666666666663</v>
      </c>
      <c r="F107" s="11">
        <f t="shared" si="12"/>
        <v>184648.33333333425</v>
      </c>
      <c r="H107" s="24">
        <f t="shared" si="7"/>
        <v>4.0493055555557476</v>
      </c>
      <c r="I107" s="28">
        <f t="shared" si="8"/>
        <v>1775.331249999982</v>
      </c>
      <c r="J107" s="36"/>
    </row>
    <row r="108" spans="2:10" x14ac:dyDescent="0.35">
      <c r="B108" s="10">
        <v>95</v>
      </c>
      <c r="C108" s="11">
        <f t="shared" si="9"/>
        <v>1771.2819444444499</v>
      </c>
      <c r="D108" s="11">
        <f t="shared" si="10"/>
        <v>1077.1152777777831</v>
      </c>
      <c r="E108" s="11">
        <f t="shared" si="11"/>
        <v>694.16666666666663</v>
      </c>
      <c r="F108" s="11">
        <f t="shared" si="12"/>
        <v>183954.16666666759</v>
      </c>
      <c r="H108" s="24">
        <f t="shared" ref="H108:H171" si="13">C107-C108</f>
        <v>4.0493055555552928</v>
      </c>
      <c r="I108" s="28">
        <f t="shared" ref="I108:I171" si="14">$I$14-((B108-1)*H108)</f>
        <v>1771.281944444469</v>
      </c>
      <c r="J108" s="36"/>
    </row>
    <row r="109" spans="2:10" x14ac:dyDescent="0.35">
      <c r="B109" s="10">
        <v>96</v>
      </c>
      <c r="C109" s="11">
        <f t="shared" si="9"/>
        <v>1767.2326388888941</v>
      </c>
      <c r="D109" s="11">
        <f t="shared" si="10"/>
        <v>1073.0659722222276</v>
      </c>
      <c r="E109" s="11">
        <f t="shared" si="11"/>
        <v>694.16666666666663</v>
      </c>
      <c r="F109" s="11">
        <f t="shared" si="12"/>
        <v>183260.00000000093</v>
      </c>
      <c r="H109" s="24">
        <f t="shared" si="13"/>
        <v>4.0493055555557476</v>
      </c>
      <c r="I109" s="28">
        <f t="shared" si="14"/>
        <v>1767.2326388888705</v>
      </c>
      <c r="J109" s="36"/>
    </row>
    <row r="110" spans="2:10" x14ac:dyDescent="0.35">
      <c r="B110" s="10">
        <v>97</v>
      </c>
      <c r="C110" s="11">
        <f t="shared" si="9"/>
        <v>1763.1833333333389</v>
      </c>
      <c r="D110" s="11">
        <f t="shared" si="10"/>
        <v>1069.0166666666721</v>
      </c>
      <c r="E110" s="11">
        <f t="shared" si="11"/>
        <v>694.16666666666663</v>
      </c>
      <c r="F110" s="11">
        <f t="shared" si="12"/>
        <v>182565.83333333427</v>
      </c>
      <c r="H110" s="24">
        <f t="shared" si="13"/>
        <v>4.0493055555552928</v>
      </c>
      <c r="I110" s="28">
        <f t="shared" si="14"/>
        <v>1763.1833333333584</v>
      </c>
      <c r="J110" s="36"/>
    </row>
    <row r="111" spans="2:10" x14ac:dyDescent="0.35">
      <c r="B111" s="10">
        <v>98</v>
      </c>
      <c r="C111" s="11">
        <f t="shared" si="9"/>
        <v>1759.1340277777831</v>
      </c>
      <c r="D111" s="11">
        <f t="shared" si="10"/>
        <v>1064.9673611111166</v>
      </c>
      <c r="E111" s="11">
        <f t="shared" si="11"/>
        <v>694.16666666666663</v>
      </c>
      <c r="F111" s="11">
        <f t="shared" si="12"/>
        <v>181871.66666666762</v>
      </c>
      <c r="H111" s="24">
        <f t="shared" si="13"/>
        <v>4.0493055555557476</v>
      </c>
      <c r="I111" s="28">
        <f t="shared" si="14"/>
        <v>1759.134027777759</v>
      </c>
      <c r="J111" s="36"/>
    </row>
    <row r="112" spans="2:10" x14ac:dyDescent="0.35">
      <c r="B112" s="10">
        <v>99</v>
      </c>
      <c r="C112" s="11">
        <f t="shared" si="9"/>
        <v>1755.0847222222278</v>
      </c>
      <c r="D112" s="11">
        <f t="shared" si="10"/>
        <v>1060.9180555555611</v>
      </c>
      <c r="E112" s="11">
        <f t="shared" si="11"/>
        <v>694.16666666666663</v>
      </c>
      <c r="F112" s="11">
        <f t="shared" si="12"/>
        <v>181177.50000000096</v>
      </c>
      <c r="H112" s="24">
        <f t="shared" si="13"/>
        <v>4.0493055555552928</v>
      </c>
      <c r="I112" s="28">
        <f t="shared" si="14"/>
        <v>1755.0847222222478</v>
      </c>
      <c r="J112" s="36"/>
    </row>
    <row r="113" spans="2:10" x14ac:dyDescent="0.35">
      <c r="B113" s="10">
        <v>100</v>
      </c>
      <c r="C113" s="11">
        <f t="shared" si="9"/>
        <v>1751.0354166666721</v>
      </c>
      <c r="D113" s="11">
        <f t="shared" si="10"/>
        <v>1056.8687500000055</v>
      </c>
      <c r="E113" s="11">
        <f t="shared" si="11"/>
        <v>694.16666666666663</v>
      </c>
      <c r="F113" s="11">
        <f t="shared" si="12"/>
        <v>180483.3333333343</v>
      </c>
      <c r="H113" s="24">
        <f t="shared" si="13"/>
        <v>4.0493055555557476</v>
      </c>
      <c r="I113" s="28">
        <f t="shared" si="14"/>
        <v>1751.0354166666475</v>
      </c>
      <c r="J113" s="36"/>
    </row>
    <row r="114" spans="2:10" x14ac:dyDescent="0.35">
      <c r="B114" s="10">
        <v>101</v>
      </c>
      <c r="C114" s="11">
        <f t="shared" si="9"/>
        <v>1746.9861111111168</v>
      </c>
      <c r="D114" s="11">
        <f t="shared" si="10"/>
        <v>1052.8194444444503</v>
      </c>
      <c r="E114" s="11">
        <f t="shared" si="11"/>
        <v>694.16666666666663</v>
      </c>
      <c r="F114" s="11">
        <f t="shared" si="12"/>
        <v>179789.16666666765</v>
      </c>
      <c r="H114" s="24">
        <f t="shared" si="13"/>
        <v>4.0493055555552928</v>
      </c>
      <c r="I114" s="28">
        <f t="shared" si="14"/>
        <v>1746.9861111111372</v>
      </c>
      <c r="J114" s="36"/>
    </row>
    <row r="115" spans="2:10" x14ac:dyDescent="0.35">
      <c r="B115" s="10">
        <v>102</v>
      </c>
      <c r="C115" s="11">
        <f t="shared" si="9"/>
        <v>1742.9368055555615</v>
      </c>
      <c r="D115" s="11">
        <f t="shared" si="10"/>
        <v>1048.7701388888947</v>
      </c>
      <c r="E115" s="11">
        <f t="shared" si="11"/>
        <v>694.16666666666663</v>
      </c>
      <c r="F115" s="11">
        <f t="shared" si="12"/>
        <v>179095.00000000099</v>
      </c>
      <c r="H115" s="24">
        <f t="shared" si="13"/>
        <v>4.0493055555552928</v>
      </c>
      <c r="I115" s="28">
        <f t="shared" si="14"/>
        <v>1742.9368055555819</v>
      </c>
      <c r="J115" s="36"/>
    </row>
    <row r="116" spans="2:10" x14ac:dyDescent="0.35">
      <c r="B116" s="10">
        <v>103</v>
      </c>
      <c r="C116" s="11">
        <f t="shared" si="9"/>
        <v>1738.8875000000057</v>
      </c>
      <c r="D116" s="11">
        <f t="shared" si="10"/>
        <v>1044.7208333333392</v>
      </c>
      <c r="E116" s="11">
        <f t="shared" si="11"/>
        <v>694.16666666666663</v>
      </c>
      <c r="F116" s="11">
        <f t="shared" si="12"/>
        <v>178400.83333333433</v>
      </c>
      <c r="H116" s="24">
        <f t="shared" si="13"/>
        <v>4.0493055555557476</v>
      </c>
      <c r="I116" s="28">
        <f t="shared" si="14"/>
        <v>1738.8874999999803</v>
      </c>
      <c r="J116" s="36"/>
    </row>
    <row r="117" spans="2:10" x14ac:dyDescent="0.35">
      <c r="B117" s="10">
        <v>104</v>
      </c>
      <c r="C117" s="11">
        <f t="shared" si="9"/>
        <v>1734.8381944444504</v>
      </c>
      <c r="D117" s="11">
        <f t="shared" si="10"/>
        <v>1040.6715277777837</v>
      </c>
      <c r="E117" s="11">
        <f t="shared" si="11"/>
        <v>694.16666666666663</v>
      </c>
      <c r="F117" s="11">
        <f t="shared" si="12"/>
        <v>177706.66666666768</v>
      </c>
      <c r="H117" s="24">
        <f t="shared" si="13"/>
        <v>4.0493055555552928</v>
      </c>
      <c r="I117" s="28">
        <f t="shared" si="14"/>
        <v>1734.8381944444714</v>
      </c>
      <c r="J117" s="36"/>
    </row>
    <row r="118" spans="2:10" x14ac:dyDescent="0.35">
      <c r="B118" s="10">
        <v>105</v>
      </c>
      <c r="C118" s="11">
        <f t="shared" si="9"/>
        <v>1730.7888888888947</v>
      </c>
      <c r="D118" s="11">
        <f t="shared" si="10"/>
        <v>1036.6222222222282</v>
      </c>
      <c r="E118" s="11">
        <f t="shared" si="11"/>
        <v>694.16666666666663</v>
      </c>
      <c r="F118" s="11">
        <f t="shared" si="12"/>
        <v>177012.50000000102</v>
      </c>
      <c r="H118" s="24">
        <f t="shared" si="13"/>
        <v>4.0493055555557476</v>
      </c>
      <c r="I118" s="28">
        <f t="shared" si="14"/>
        <v>1730.7888888888688</v>
      </c>
      <c r="J118" s="36"/>
    </row>
    <row r="119" spans="2:10" x14ac:dyDescent="0.35">
      <c r="B119" s="10">
        <v>106</v>
      </c>
      <c r="C119" s="11">
        <f t="shared" si="9"/>
        <v>1726.7395833333394</v>
      </c>
      <c r="D119" s="11">
        <f t="shared" si="10"/>
        <v>1032.5729166666727</v>
      </c>
      <c r="E119" s="11">
        <f t="shared" si="11"/>
        <v>694.16666666666663</v>
      </c>
      <c r="F119" s="11">
        <f t="shared" si="12"/>
        <v>176318.33333333436</v>
      </c>
      <c r="H119" s="24">
        <f t="shared" si="13"/>
        <v>4.0493055555552928</v>
      </c>
      <c r="I119" s="28">
        <f t="shared" si="14"/>
        <v>1726.7395833333608</v>
      </c>
      <c r="J119" s="36"/>
    </row>
    <row r="120" spans="2:10" x14ac:dyDescent="0.35">
      <c r="B120" s="10">
        <v>107</v>
      </c>
      <c r="C120" s="11">
        <f t="shared" si="9"/>
        <v>1722.6902777777836</v>
      </c>
      <c r="D120" s="11">
        <f t="shared" si="10"/>
        <v>1028.5236111111171</v>
      </c>
      <c r="E120" s="11">
        <f t="shared" si="11"/>
        <v>694.16666666666663</v>
      </c>
      <c r="F120" s="11">
        <f t="shared" si="12"/>
        <v>175624.1666666677</v>
      </c>
      <c r="H120" s="24">
        <f t="shared" si="13"/>
        <v>4.0493055555557476</v>
      </c>
      <c r="I120" s="28">
        <f t="shared" si="14"/>
        <v>1722.6902777777573</v>
      </c>
      <c r="J120" s="36"/>
    </row>
    <row r="121" spans="2:10" x14ac:dyDescent="0.35">
      <c r="B121" s="10">
        <v>108</v>
      </c>
      <c r="C121" s="11">
        <f t="shared" si="9"/>
        <v>1718.6409722222284</v>
      </c>
      <c r="D121" s="11">
        <f t="shared" si="10"/>
        <v>1024.4743055555616</v>
      </c>
      <c r="E121" s="11">
        <f t="shared" si="11"/>
        <v>694.16666666666663</v>
      </c>
      <c r="F121" s="11">
        <f t="shared" si="12"/>
        <v>174930.00000000105</v>
      </c>
      <c r="H121" s="24">
        <f t="shared" si="13"/>
        <v>4.0493055555552928</v>
      </c>
      <c r="I121" s="28">
        <f t="shared" si="14"/>
        <v>1718.6409722222502</v>
      </c>
      <c r="J121" s="36"/>
    </row>
    <row r="122" spans="2:10" x14ac:dyDescent="0.35">
      <c r="B122" s="10">
        <v>109</v>
      </c>
      <c r="C122" s="11">
        <f t="shared" si="9"/>
        <v>1714.5916666666728</v>
      </c>
      <c r="D122" s="11">
        <f t="shared" si="10"/>
        <v>1020.4250000000062</v>
      </c>
      <c r="E122" s="11">
        <f t="shared" si="11"/>
        <v>694.16666666666663</v>
      </c>
      <c r="F122" s="11">
        <f t="shared" si="12"/>
        <v>174235.83333333439</v>
      </c>
      <c r="H122" s="24">
        <f t="shared" si="13"/>
        <v>4.0493055555555202</v>
      </c>
      <c r="I122" s="28">
        <f t="shared" si="14"/>
        <v>1714.5916666666703</v>
      </c>
      <c r="J122" s="36"/>
    </row>
    <row r="123" spans="2:10" x14ac:dyDescent="0.35">
      <c r="B123" s="10">
        <v>110</v>
      </c>
      <c r="C123" s="11">
        <f t="shared" si="9"/>
        <v>1710.5423611111173</v>
      </c>
      <c r="D123" s="11">
        <f t="shared" si="10"/>
        <v>1016.3756944444507</v>
      </c>
      <c r="E123" s="11">
        <f t="shared" si="11"/>
        <v>694.16666666666663</v>
      </c>
      <c r="F123" s="11">
        <f t="shared" si="12"/>
        <v>173541.66666666773</v>
      </c>
      <c r="H123" s="24">
        <f t="shared" si="13"/>
        <v>4.0493055555555202</v>
      </c>
      <c r="I123" s="28">
        <f t="shared" si="14"/>
        <v>1710.5423611111148</v>
      </c>
      <c r="J123" s="36"/>
    </row>
    <row r="124" spans="2:10" x14ac:dyDescent="0.35">
      <c r="B124" s="10">
        <v>111</v>
      </c>
      <c r="C124" s="11">
        <f t="shared" si="9"/>
        <v>1706.4930555555618</v>
      </c>
      <c r="D124" s="11">
        <f t="shared" si="10"/>
        <v>1012.3263888888952</v>
      </c>
      <c r="E124" s="11">
        <f t="shared" si="11"/>
        <v>694.16666666666663</v>
      </c>
      <c r="F124" s="11">
        <f t="shared" si="12"/>
        <v>172847.50000000108</v>
      </c>
      <c r="H124" s="24">
        <f t="shared" si="13"/>
        <v>4.0493055555555202</v>
      </c>
      <c r="I124" s="28">
        <f t="shared" si="14"/>
        <v>1706.4930555555593</v>
      </c>
      <c r="J124" s="36"/>
    </row>
    <row r="125" spans="2:10" x14ac:dyDescent="0.35">
      <c r="B125" s="10">
        <v>112</v>
      </c>
      <c r="C125" s="11">
        <f t="shared" si="9"/>
        <v>1702.4437500000063</v>
      </c>
      <c r="D125" s="11">
        <f t="shared" si="10"/>
        <v>1008.2770833333396</v>
      </c>
      <c r="E125" s="11">
        <f t="shared" si="11"/>
        <v>694.16666666666663</v>
      </c>
      <c r="F125" s="11">
        <f t="shared" si="12"/>
        <v>172153.33333333442</v>
      </c>
      <c r="H125" s="24">
        <f t="shared" si="13"/>
        <v>4.0493055555555202</v>
      </c>
      <c r="I125" s="28">
        <f t="shared" si="14"/>
        <v>1702.4437500000038</v>
      </c>
      <c r="J125" s="36"/>
    </row>
    <row r="126" spans="2:10" x14ac:dyDescent="0.35">
      <c r="B126" s="10">
        <v>113</v>
      </c>
      <c r="C126" s="11">
        <f t="shared" si="9"/>
        <v>1698.3944444444508</v>
      </c>
      <c r="D126" s="11">
        <f t="shared" si="10"/>
        <v>1004.2277777777841</v>
      </c>
      <c r="E126" s="11">
        <f t="shared" si="11"/>
        <v>694.16666666666663</v>
      </c>
      <c r="F126" s="11">
        <f t="shared" si="12"/>
        <v>171459.16666666776</v>
      </c>
      <c r="H126" s="24">
        <f t="shared" si="13"/>
        <v>4.0493055555555202</v>
      </c>
      <c r="I126" s="28">
        <f t="shared" si="14"/>
        <v>1698.3944444444483</v>
      </c>
      <c r="J126" s="36"/>
    </row>
    <row r="127" spans="2:10" x14ac:dyDescent="0.35">
      <c r="B127" s="10">
        <v>114</v>
      </c>
      <c r="C127" s="11">
        <f t="shared" si="9"/>
        <v>1694.3451388888952</v>
      </c>
      <c r="D127" s="11">
        <f t="shared" si="10"/>
        <v>1000.1784722222286</v>
      </c>
      <c r="E127" s="11">
        <f t="shared" si="11"/>
        <v>694.16666666666663</v>
      </c>
      <c r="F127" s="11">
        <f t="shared" si="12"/>
        <v>170765.00000000111</v>
      </c>
      <c r="H127" s="24">
        <f t="shared" si="13"/>
        <v>4.0493055555555202</v>
      </c>
      <c r="I127" s="28">
        <f t="shared" si="14"/>
        <v>1694.3451388888927</v>
      </c>
      <c r="J127" s="36"/>
    </row>
    <row r="128" spans="2:10" x14ac:dyDescent="0.35">
      <c r="B128" s="10">
        <v>115</v>
      </c>
      <c r="C128" s="11">
        <f t="shared" si="9"/>
        <v>1690.2958333333399</v>
      </c>
      <c r="D128" s="11">
        <f t="shared" si="10"/>
        <v>996.1291666666732</v>
      </c>
      <c r="E128" s="11">
        <f t="shared" si="11"/>
        <v>694.16666666666663</v>
      </c>
      <c r="F128" s="11">
        <f t="shared" si="12"/>
        <v>170070.83333333445</v>
      </c>
      <c r="H128" s="24">
        <f t="shared" si="13"/>
        <v>4.0493055555552928</v>
      </c>
      <c r="I128" s="28">
        <f t="shared" si="14"/>
        <v>1690.2958333333631</v>
      </c>
      <c r="J128" s="36"/>
    </row>
    <row r="129" spans="2:10" x14ac:dyDescent="0.35">
      <c r="B129" s="10">
        <v>116</v>
      </c>
      <c r="C129" s="11">
        <f t="shared" si="9"/>
        <v>1686.2465277777842</v>
      </c>
      <c r="D129" s="11">
        <f t="shared" si="10"/>
        <v>992.07986111111768</v>
      </c>
      <c r="E129" s="11">
        <f t="shared" si="11"/>
        <v>694.16666666666663</v>
      </c>
      <c r="F129" s="11">
        <f t="shared" si="12"/>
        <v>169376.66666666779</v>
      </c>
      <c r="H129" s="24">
        <f t="shared" si="13"/>
        <v>4.0493055555557476</v>
      </c>
      <c r="I129" s="28">
        <f t="shared" si="14"/>
        <v>1686.2465277777555</v>
      </c>
      <c r="J129" s="36"/>
    </row>
    <row r="130" spans="2:10" x14ac:dyDescent="0.35">
      <c r="B130" s="10">
        <v>117</v>
      </c>
      <c r="C130" s="11">
        <f t="shared" si="9"/>
        <v>1682.1972222222289</v>
      </c>
      <c r="D130" s="11">
        <f t="shared" si="10"/>
        <v>988.03055555556216</v>
      </c>
      <c r="E130" s="11">
        <f t="shared" si="11"/>
        <v>694.16666666666663</v>
      </c>
      <c r="F130" s="11">
        <f t="shared" si="12"/>
        <v>168682.50000000114</v>
      </c>
      <c r="H130" s="24">
        <f t="shared" si="13"/>
        <v>4.0493055555552928</v>
      </c>
      <c r="I130" s="28">
        <f t="shared" si="14"/>
        <v>1682.1972222222525</v>
      </c>
      <c r="J130" s="36"/>
    </row>
    <row r="131" spans="2:10" x14ac:dyDescent="0.35">
      <c r="B131" s="10">
        <v>118</v>
      </c>
      <c r="C131" s="11">
        <f t="shared" si="9"/>
        <v>1678.1479166666732</v>
      </c>
      <c r="D131" s="11">
        <f t="shared" si="10"/>
        <v>983.98125000000664</v>
      </c>
      <c r="E131" s="11">
        <f t="shared" si="11"/>
        <v>694.16666666666663</v>
      </c>
      <c r="F131" s="11">
        <f t="shared" si="12"/>
        <v>167988.33333333448</v>
      </c>
      <c r="H131" s="24">
        <f t="shared" si="13"/>
        <v>4.0493055555557476</v>
      </c>
      <c r="I131" s="28">
        <f t="shared" si="14"/>
        <v>1678.1479166666441</v>
      </c>
      <c r="J131" s="36"/>
    </row>
    <row r="132" spans="2:10" x14ac:dyDescent="0.35">
      <c r="B132" s="10">
        <v>119</v>
      </c>
      <c r="C132" s="11">
        <f t="shared" si="9"/>
        <v>1674.0986111111179</v>
      </c>
      <c r="D132" s="11">
        <f t="shared" si="10"/>
        <v>979.93194444445112</v>
      </c>
      <c r="E132" s="11">
        <f t="shared" si="11"/>
        <v>694.16666666666663</v>
      </c>
      <c r="F132" s="11">
        <f t="shared" si="12"/>
        <v>167294.16666666782</v>
      </c>
      <c r="H132" s="24">
        <f t="shared" si="13"/>
        <v>4.0493055555552928</v>
      </c>
      <c r="I132" s="28">
        <f t="shared" si="14"/>
        <v>1674.098611111142</v>
      </c>
      <c r="J132" s="36"/>
    </row>
    <row r="133" spans="2:10" x14ac:dyDescent="0.35">
      <c r="B133" s="10">
        <v>120</v>
      </c>
      <c r="C133" s="11">
        <f t="shared" si="9"/>
        <v>1670.0493055555623</v>
      </c>
      <c r="D133" s="11">
        <f t="shared" si="10"/>
        <v>975.88263888889571</v>
      </c>
      <c r="E133" s="11">
        <f t="shared" si="11"/>
        <v>694.16666666666663</v>
      </c>
      <c r="F133" s="11">
        <f t="shared" si="12"/>
        <v>166600.00000000116</v>
      </c>
      <c r="H133" s="24">
        <f t="shared" si="13"/>
        <v>4.0493055555555202</v>
      </c>
      <c r="I133" s="28">
        <f t="shared" si="14"/>
        <v>1670.0493055555596</v>
      </c>
      <c r="J133" s="36"/>
    </row>
    <row r="134" spans="2:10" x14ac:dyDescent="0.35">
      <c r="B134" s="10">
        <v>121</v>
      </c>
      <c r="C134" s="11">
        <f t="shared" si="9"/>
        <v>1666.0000000000068</v>
      </c>
      <c r="D134" s="11">
        <f t="shared" si="10"/>
        <v>971.83333333334019</v>
      </c>
      <c r="E134" s="11">
        <f t="shared" si="11"/>
        <v>694.16666666666663</v>
      </c>
      <c r="F134" s="11">
        <f t="shared" si="12"/>
        <v>165905.83333333451</v>
      </c>
      <c r="H134" s="24">
        <f t="shared" si="13"/>
        <v>4.0493055555555202</v>
      </c>
      <c r="I134" s="28">
        <f t="shared" si="14"/>
        <v>1666.0000000000041</v>
      </c>
      <c r="J134" s="36"/>
    </row>
    <row r="135" spans="2:10" x14ac:dyDescent="0.35">
      <c r="B135" s="10">
        <v>122</v>
      </c>
      <c r="C135" s="11">
        <f t="shared" si="9"/>
        <v>1661.9506944444513</v>
      </c>
      <c r="D135" s="11">
        <f t="shared" si="10"/>
        <v>967.78402777778467</v>
      </c>
      <c r="E135" s="11">
        <f t="shared" si="11"/>
        <v>694.16666666666663</v>
      </c>
      <c r="F135" s="11">
        <f t="shared" si="12"/>
        <v>165211.66666666785</v>
      </c>
      <c r="H135" s="24">
        <f t="shared" si="13"/>
        <v>4.0493055555555202</v>
      </c>
      <c r="I135" s="28">
        <f t="shared" si="14"/>
        <v>1661.9506944444486</v>
      </c>
      <c r="J135" s="36"/>
    </row>
    <row r="136" spans="2:10" x14ac:dyDescent="0.35">
      <c r="B136" s="10">
        <v>123</v>
      </c>
      <c r="C136" s="11">
        <f t="shared" si="9"/>
        <v>1657.9013888888958</v>
      </c>
      <c r="D136" s="11">
        <f t="shared" si="10"/>
        <v>963.73472222222915</v>
      </c>
      <c r="E136" s="11">
        <f t="shared" si="11"/>
        <v>694.16666666666663</v>
      </c>
      <c r="F136" s="11">
        <f t="shared" si="12"/>
        <v>164517.50000000119</v>
      </c>
      <c r="H136" s="24">
        <f t="shared" si="13"/>
        <v>4.0493055555555202</v>
      </c>
      <c r="I136" s="28">
        <f t="shared" si="14"/>
        <v>1657.9013888888931</v>
      </c>
      <c r="J136" s="36"/>
    </row>
    <row r="137" spans="2:10" x14ac:dyDescent="0.35">
      <c r="B137" s="10">
        <v>124</v>
      </c>
      <c r="C137" s="11">
        <f t="shared" si="9"/>
        <v>1653.8520833333403</v>
      </c>
      <c r="D137" s="11">
        <f t="shared" si="10"/>
        <v>959.68541666667363</v>
      </c>
      <c r="E137" s="11">
        <f t="shared" si="11"/>
        <v>694.16666666666663</v>
      </c>
      <c r="F137" s="11">
        <f t="shared" si="12"/>
        <v>163823.33333333454</v>
      </c>
      <c r="H137" s="24">
        <f t="shared" si="13"/>
        <v>4.0493055555555202</v>
      </c>
      <c r="I137" s="28">
        <f t="shared" si="14"/>
        <v>1653.8520833333375</v>
      </c>
      <c r="J137" s="36"/>
    </row>
    <row r="138" spans="2:10" x14ac:dyDescent="0.35">
      <c r="B138" s="10">
        <v>125</v>
      </c>
      <c r="C138" s="11">
        <f t="shared" si="9"/>
        <v>1649.8027777777847</v>
      </c>
      <c r="D138" s="11">
        <f t="shared" si="10"/>
        <v>955.63611111111823</v>
      </c>
      <c r="E138" s="11">
        <f t="shared" si="11"/>
        <v>694.16666666666663</v>
      </c>
      <c r="F138" s="11">
        <f t="shared" si="12"/>
        <v>163129.16666666788</v>
      </c>
      <c r="H138" s="24">
        <f t="shared" si="13"/>
        <v>4.0493055555555202</v>
      </c>
      <c r="I138" s="28">
        <f t="shared" si="14"/>
        <v>1649.802777777782</v>
      </c>
      <c r="J138" s="36"/>
    </row>
    <row r="139" spans="2:10" x14ac:dyDescent="0.35">
      <c r="B139" s="10">
        <v>126</v>
      </c>
      <c r="C139" s="11">
        <f t="shared" si="9"/>
        <v>1645.7534722222294</v>
      </c>
      <c r="D139" s="11">
        <f t="shared" si="10"/>
        <v>951.58680555556271</v>
      </c>
      <c r="E139" s="11">
        <f t="shared" si="11"/>
        <v>694.16666666666663</v>
      </c>
      <c r="F139" s="11">
        <f t="shared" si="12"/>
        <v>162435.00000000122</v>
      </c>
      <c r="H139" s="24">
        <f t="shared" si="13"/>
        <v>4.0493055555552928</v>
      </c>
      <c r="I139" s="28">
        <f t="shared" si="14"/>
        <v>1645.7534722222549</v>
      </c>
      <c r="J139" s="36"/>
    </row>
    <row r="140" spans="2:10" x14ac:dyDescent="0.35">
      <c r="B140" s="10">
        <v>127</v>
      </c>
      <c r="C140" s="11">
        <f t="shared" si="9"/>
        <v>1641.7041666666737</v>
      </c>
      <c r="D140" s="11">
        <f t="shared" si="10"/>
        <v>947.53750000000719</v>
      </c>
      <c r="E140" s="11">
        <f t="shared" si="11"/>
        <v>694.16666666666663</v>
      </c>
      <c r="F140" s="11">
        <f t="shared" si="12"/>
        <v>161740.83333333457</v>
      </c>
      <c r="H140" s="24">
        <f t="shared" si="13"/>
        <v>4.0493055555557476</v>
      </c>
      <c r="I140" s="28">
        <f t="shared" si="14"/>
        <v>1641.7041666666423</v>
      </c>
      <c r="J140" s="36"/>
    </row>
    <row r="141" spans="2:10" x14ac:dyDescent="0.35">
      <c r="B141" s="10">
        <v>128</v>
      </c>
      <c r="C141" s="11">
        <f t="shared" si="9"/>
        <v>1637.6548611111184</v>
      </c>
      <c r="D141" s="11">
        <f t="shared" si="10"/>
        <v>943.48819444445166</v>
      </c>
      <c r="E141" s="11">
        <f t="shared" si="11"/>
        <v>694.16666666666663</v>
      </c>
      <c r="F141" s="11">
        <f t="shared" si="12"/>
        <v>161046.66666666791</v>
      </c>
      <c r="H141" s="24">
        <f t="shared" si="13"/>
        <v>4.0493055555552928</v>
      </c>
      <c r="I141" s="28">
        <f t="shared" si="14"/>
        <v>1637.6548611111443</v>
      </c>
      <c r="J141" s="36"/>
    </row>
    <row r="142" spans="2:10" x14ac:dyDescent="0.35">
      <c r="B142" s="10">
        <v>129</v>
      </c>
      <c r="C142" s="11">
        <f t="shared" si="9"/>
        <v>1633.6055555555627</v>
      </c>
      <c r="D142" s="11">
        <f t="shared" si="10"/>
        <v>939.43888888889614</v>
      </c>
      <c r="E142" s="11">
        <f t="shared" si="11"/>
        <v>694.16666666666663</v>
      </c>
      <c r="F142" s="11">
        <f t="shared" si="12"/>
        <v>160352.50000000125</v>
      </c>
      <c r="H142" s="24">
        <f t="shared" si="13"/>
        <v>4.0493055555557476</v>
      </c>
      <c r="I142" s="28">
        <f t="shared" si="14"/>
        <v>1633.6055555555308</v>
      </c>
      <c r="J142" s="36"/>
    </row>
    <row r="143" spans="2:10" x14ac:dyDescent="0.35">
      <c r="B143" s="10">
        <v>130</v>
      </c>
      <c r="C143" s="11">
        <f t="shared" ref="C143:C206" si="15">D143+E143</f>
        <v>1629.5562500000074</v>
      </c>
      <c r="D143" s="11">
        <f t="shared" ref="D143:D206" si="16">F142*$C$5</f>
        <v>935.38958333334062</v>
      </c>
      <c r="E143" s="11">
        <f t="shared" ref="E143:E206" si="17">$C$10</f>
        <v>694.16666666666663</v>
      </c>
      <c r="F143" s="11">
        <f t="shared" ref="F143:F206" si="18">F142-E143</f>
        <v>159658.33333333459</v>
      </c>
      <c r="H143" s="24">
        <f t="shared" si="13"/>
        <v>4.0493055555552928</v>
      </c>
      <c r="I143" s="28">
        <f t="shared" si="14"/>
        <v>1629.5562500000337</v>
      </c>
      <c r="J143" s="36"/>
    </row>
    <row r="144" spans="2:10" x14ac:dyDescent="0.35">
      <c r="B144" s="10">
        <v>131</v>
      </c>
      <c r="C144" s="11">
        <f t="shared" si="15"/>
        <v>1625.5069444444518</v>
      </c>
      <c r="D144" s="11">
        <f t="shared" si="16"/>
        <v>931.34027777778522</v>
      </c>
      <c r="E144" s="11">
        <f t="shared" si="17"/>
        <v>694.16666666666663</v>
      </c>
      <c r="F144" s="11">
        <f t="shared" si="18"/>
        <v>158964.16666666794</v>
      </c>
      <c r="H144" s="24">
        <f t="shared" si="13"/>
        <v>4.0493055555555202</v>
      </c>
      <c r="I144" s="28">
        <f t="shared" si="14"/>
        <v>1625.5069444444489</v>
      </c>
      <c r="J144" s="36"/>
    </row>
    <row r="145" spans="2:10" x14ac:dyDescent="0.35">
      <c r="B145" s="10">
        <v>132</v>
      </c>
      <c r="C145" s="11">
        <f t="shared" si="15"/>
        <v>1621.4576388888963</v>
      </c>
      <c r="D145" s="11">
        <f t="shared" si="16"/>
        <v>927.2909722222297</v>
      </c>
      <c r="E145" s="11">
        <f t="shared" si="17"/>
        <v>694.16666666666663</v>
      </c>
      <c r="F145" s="11">
        <f t="shared" si="18"/>
        <v>158270.00000000128</v>
      </c>
      <c r="H145" s="24">
        <f t="shared" si="13"/>
        <v>4.0493055555555202</v>
      </c>
      <c r="I145" s="28">
        <f t="shared" si="14"/>
        <v>1621.4576388888934</v>
      </c>
      <c r="J145" s="36"/>
    </row>
    <row r="146" spans="2:10" x14ac:dyDescent="0.35">
      <c r="B146" s="10">
        <v>133</v>
      </c>
      <c r="C146" s="11">
        <f t="shared" si="15"/>
        <v>1617.4083333333408</v>
      </c>
      <c r="D146" s="11">
        <f t="shared" si="16"/>
        <v>923.24166666667418</v>
      </c>
      <c r="E146" s="11">
        <f t="shared" si="17"/>
        <v>694.16666666666663</v>
      </c>
      <c r="F146" s="11">
        <f t="shared" si="18"/>
        <v>157575.83333333462</v>
      </c>
      <c r="H146" s="24">
        <f t="shared" si="13"/>
        <v>4.0493055555555202</v>
      </c>
      <c r="I146" s="28">
        <f t="shared" si="14"/>
        <v>1617.4083333333379</v>
      </c>
      <c r="J146" s="36"/>
    </row>
    <row r="147" spans="2:10" x14ac:dyDescent="0.35">
      <c r="B147" s="10">
        <v>134</v>
      </c>
      <c r="C147" s="11">
        <f t="shared" si="15"/>
        <v>1613.3590277777853</v>
      </c>
      <c r="D147" s="11">
        <f t="shared" si="16"/>
        <v>919.19236111111866</v>
      </c>
      <c r="E147" s="11">
        <f t="shared" si="17"/>
        <v>694.16666666666663</v>
      </c>
      <c r="F147" s="11">
        <f t="shared" si="18"/>
        <v>156881.66666666797</v>
      </c>
      <c r="H147" s="24">
        <f t="shared" si="13"/>
        <v>4.0493055555555202</v>
      </c>
      <c r="I147" s="28">
        <f t="shared" si="14"/>
        <v>1613.3590277777823</v>
      </c>
      <c r="J147" s="36"/>
    </row>
    <row r="148" spans="2:10" x14ac:dyDescent="0.35">
      <c r="B148" s="10">
        <v>135</v>
      </c>
      <c r="C148" s="11">
        <f t="shared" si="15"/>
        <v>1609.3097222222298</v>
      </c>
      <c r="D148" s="11">
        <f t="shared" si="16"/>
        <v>915.14305555556314</v>
      </c>
      <c r="E148" s="11">
        <f t="shared" si="17"/>
        <v>694.16666666666663</v>
      </c>
      <c r="F148" s="11">
        <f t="shared" si="18"/>
        <v>156187.50000000131</v>
      </c>
      <c r="H148" s="24">
        <f t="shared" si="13"/>
        <v>4.0493055555555202</v>
      </c>
      <c r="I148" s="28">
        <f t="shared" si="14"/>
        <v>1609.3097222222268</v>
      </c>
      <c r="J148" s="36"/>
    </row>
    <row r="149" spans="2:10" x14ac:dyDescent="0.35">
      <c r="B149" s="10">
        <v>136</v>
      </c>
      <c r="C149" s="11">
        <f t="shared" si="15"/>
        <v>1605.2604166666742</v>
      </c>
      <c r="D149" s="11">
        <f t="shared" si="16"/>
        <v>911.09375000000773</v>
      </c>
      <c r="E149" s="11">
        <f t="shared" si="17"/>
        <v>694.16666666666663</v>
      </c>
      <c r="F149" s="11">
        <f t="shared" si="18"/>
        <v>155493.33333333465</v>
      </c>
      <c r="H149" s="24">
        <f t="shared" si="13"/>
        <v>4.0493055555555202</v>
      </c>
      <c r="I149" s="28">
        <f t="shared" si="14"/>
        <v>1605.2604166666713</v>
      </c>
      <c r="J149" s="36"/>
    </row>
    <row r="150" spans="2:10" x14ac:dyDescent="0.35">
      <c r="B150" s="10">
        <v>137</v>
      </c>
      <c r="C150" s="11">
        <f t="shared" si="15"/>
        <v>1601.211111111119</v>
      </c>
      <c r="D150" s="11">
        <f t="shared" si="16"/>
        <v>907.04444444445221</v>
      </c>
      <c r="E150" s="11">
        <f t="shared" si="17"/>
        <v>694.16666666666663</v>
      </c>
      <c r="F150" s="11">
        <f t="shared" si="18"/>
        <v>154799.166666668</v>
      </c>
      <c r="H150" s="24">
        <f t="shared" si="13"/>
        <v>4.0493055555552928</v>
      </c>
      <c r="I150" s="28">
        <f t="shared" si="14"/>
        <v>1601.2111111111467</v>
      </c>
      <c r="J150" s="36"/>
    </row>
    <row r="151" spans="2:10" x14ac:dyDescent="0.35">
      <c r="B151" s="10">
        <v>138</v>
      </c>
      <c r="C151" s="11">
        <f t="shared" si="15"/>
        <v>1597.1618055555632</v>
      </c>
      <c r="D151" s="11">
        <f t="shared" si="16"/>
        <v>902.99513888889669</v>
      </c>
      <c r="E151" s="11">
        <f t="shared" si="17"/>
        <v>694.16666666666663</v>
      </c>
      <c r="F151" s="11">
        <f t="shared" si="18"/>
        <v>154105.00000000134</v>
      </c>
      <c r="H151" s="24">
        <f t="shared" si="13"/>
        <v>4.0493055555557476</v>
      </c>
      <c r="I151" s="28">
        <f t="shared" si="14"/>
        <v>1597.1618055555291</v>
      </c>
      <c r="J151" s="36"/>
    </row>
    <row r="152" spans="2:10" x14ac:dyDescent="0.35">
      <c r="B152" s="10">
        <v>139</v>
      </c>
      <c r="C152" s="11">
        <f t="shared" si="15"/>
        <v>1593.1125000000079</v>
      </c>
      <c r="D152" s="11">
        <f t="shared" si="16"/>
        <v>898.94583333334117</v>
      </c>
      <c r="E152" s="11">
        <f t="shared" si="17"/>
        <v>694.16666666666663</v>
      </c>
      <c r="F152" s="11">
        <f t="shared" si="18"/>
        <v>153410.83333333468</v>
      </c>
      <c r="H152" s="24">
        <f t="shared" si="13"/>
        <v>4.0493055555552928</v>
      </c>
      <c r="I152" s="28">
        <f t="shared" si="14"/>
        <v>1593.1125000000361</v>
      </c>
      <c r="J152" s="36"/>
    </row>
    <row r="153" spans="2:10" x14ac:dyDescent="0.35">
      <c r="B153" s="10">
        <v>140</v>
      </c>
      <c r="C153" s="11">
        <f t="shared" si="15"/>
        <v>1589.0631944444522</v>
      </c>
      <c r="D153" s="11">
        <f t="shared" si="16"/>
        <v>894.89652777778565</v>
      </c>
      <c r="E153" s="11">
        <f t="shared" si="17"/>
        <v>694.16666666666663</v>
      </c>
      <c r="F153" s="11">
        <f t="shared" si="18"/>
        <v>152716.66666666802</v>
      </c>
      <c r="H153" s="24">
        <f t="shared" si="13"/>
        <v>4.0493055555557476</v>
      </c>
      <c r="I153" s="28">
        <f t="shared" si="14"/>
        <v>1589.0631944444176</v>
      </c>
      <c r="J153" s="36"/>
    </row>
    <row r="154" spans="2:10" x14ac:dyDescent="0.35">
      <c r="B154" s="10">
        <v>141</v>
      </c>
      <c r="C154" s="11">
        <f t="shared" si="15"/>
        <v>1585.0138888888969</v>
      </c>
      <c r="D154" s="11">
        <f t="shared" si="16"/>
        <v>890.84722222223013</v>
      </c>
      <c r="E154" s="11">
        <f t="shared" si="17"/>
        <v>694.16666666666663</v>
      </c>
      <c r="F154" s="11">
        <f t="shared" si="18"/>
        <v>152022.50000000137</v>
      </c>
      <c r="H154" s="24">
        <f t="shared" si="13"/>
        <v>4.0493055555552928</v>
      </c>
      <c r="I154" s="28">
        <f t="shared" si="14"/>
        <v>1585.0138888889255</v>
      </c>
      <c r="J154" s="36"/>
    </row>
    <row r="155" spans="2:10" x14ac:dyDescent="0.35">
      <c r="B155" s="10">
        <v>142</v>
      </c>
      <c r="C155" s="11">
        <f t="shared" si="15"/>
        <v>1580.9645833333414</v>
      </c>
      <c r="D155" s="11">
        <f t="shared" si="16"/>
        <v>886.79791666667472</v>
      </c>
      <c r="E155" s="11">
        <f t="shared" si="17"/>
        <v>694.16666666666663</v>
      </c>
      <c r="F155" s="11">
        <f t="shared" si="18"/>
        <v>151328.33333333471</v>
      </c>
      <c r="H155" s="24">
        <f t="shared" si="13"/>
        <v>4.0493055555555202</v>
      </c>
      <c r="I155" s="28">
        <f t="shared" si="14"/>
        <v>1580.9645833333382</v>
      </c>
      <c r="J155" s="36"/>
    </row>
    <row r="156" spans="2:10" x14ac:dyDescent="0.35">
      <c r="B156" s="10">
        <v>143</v>
      </c>
      <c r="C156" s="11">
        <f t="shared" si="15"/>
        <v>1576.9152777777858</v>
      </c>
      <c r="D156" s="11">
        <f t="shared" si="16"/>
        <v>882.7486111111192</v>
      </c>
      <c r="E156" s="11">
        <f t="shared" si="17"/>
        <v>694.16666666666663</v>
      </c>
      <c r="F156" s="11">
        <f t="shared" si="18"/>
        <v>150634.16666666805</v>
      </c>
      <c r="H156" s="24">
        <f t="shared" si="13"/>
        <v>4.0493055555555202</v>
      </c>
      <c r="I156" s="28">
        <f t="shared" si="14"/>
        <v>1576.9152777777826</v>
      </c>
      <c r="J156" s="36"/>
    </row>
    <row r="157" spans="2:10" x14ac:dyDescent="0.35">
      <c r="B157" s="10">
        <v>144</v>
      </c>
      <c r="C157" s="11">
        <f t="shared" si="15"/>
        <v>1572.8659722222303</v>
      </c>
      <c r="D157" s="11">
        <f t="shared" si="16"/>
        <v>878.69930555556368</v>
      </c>
      <c r="E157" s="11">
        <f t="shared" si="17"/>
        <v>694.16666666666663</v>
      </c>
      <c r="F157" s="11">
        <f t="shared" si="18"/>
        <v>149940.0000000014</v>
      </c>
      <c r="H157" s="24">
        <f t="shared" si="13"/>
        <v>4.0493055555555202</v>
      </c>
      <c r="I157" s="28">
        <f t="shared" si="14"/>
        <v>1572.8659722222271</v>
      </c>
      <c r="J157" s="36"/>
    </row>
    <row r="158" spans="2:10" x14ac:dyDescent="0.35">
      <c r="B158" s="10">
        <v>145</v>
      </c>
      <c r="C158" s="11">
        <f t="shared" si="15"/>
        <v>1568.8166666666748</v>
      </c>
      <c r="D158" s="11">
        <f t="shared" si="16"/>
        <v>874.65000000000816</v>
      </c>
      <c r="E158" s="11">
        <f t="shared" si="17"/>
        <v>694.16666666666663</v>
      </c>
      <c r="F158" s="11">
        <f t="shared" si="18"/>
        <v>149245.83333333474</v>
      </c>
      <c r="H158" s="24">
        <f t="shared" si="13"/>
        <v>4.0493055555555202</v>
      </c>
      <c r="I158" s="28">
        <f t="shared" si="14"/>
        <v>1568.8166666666716</v>
      </c>
      <c r="J158" s="36"/>
    </row>
    <row r="159" spans="2:10" x14ac:dyDescent="0.35">
      <c r="B159" s="10">
        <v>146</v>
      </c>
      <c r="C159" s="11">
        <f t="shared" si="15"/>
        <v>1564.7673611111193</v>
      </c>
      <c r="D159" s="11">
        <f t="shared" si="16"/>
        <v>870.60069444445264</v>
      </c>
      <c r="E159" s="11">
        <f t="shared" si="17"/>
        <v>694.16666666666663</v>
      </c>
      <c r="F159" s="11">
        <f t="shared" si="18"/>
        <v>148551.66666666808</v>
      </c>
      <c r="H159" s="24">
        <f t="shared" si="13"/>
        <v>4.0493055555555202</v>
      </c>
      <c r="I159" s="28">
        <f t="shared" si="14"/>
        <v>1564.7673611111161</v>
      </c>
      <c r="J159" s="36"/>
    </row>
    <row r="160" spans="2:10" x14ac:dyDescent="0.35">
      <c r="B160" s="10">
        <v>147</v>
      </c>
      <c r="C160" s="11">
        <f t="shared" si="15"/>
        <v>1560.7180555555638</v>
      </c>
      <c r="D160" s="11">
        <f t="shared" si="16"/>
        <v>866.55138888889724</v>
      </c>
      <c r="E160" s="11">
        <f t="shared" si="17"/>
        <v>694.16666666666663</v>
      </c>
      <c r="F160" s="11">
        <f t="shared" si="18"/>
        <v>147857.50000000143</v>
      </c>
      <c r="H160" s="24">
        <f t="shared" si="13"/>
        <v>4.0493055555555202</v>
      </c>
      <c r="I160" s="28">
        <f t="shared" si="14"/>
        <v>1560.7180555555606</v>
      </c>
      <c r="J160" s="36"/>
    </row>
    <row r="161" spans="2:10" x14ac:dyDescent="0.35">
      <c r="B161" s="10">
        <v>148</v>
      </c>
      <c r="C161" s="11">
        <f t="shared" si="15"/>
        <v>1556.6687500000085</v>
      </c>
      <c r="D161" s="11">
        <f t="shared" si="16"/>
        <v>862.50208333334172</v>
      </c>
      <c r="E161" s="11">
        <f t="shared" si="17"/>
        <v>694.16666666666663</v>
      </c>
      <c r="F161" s="11">
        <f t="shared" si="18"/>
        <v>147163.33333333477</v>
      </c>
      <c r="H161" s="24">
        <f t="shared" si="13"/>
        <v>4.0493055555552928</v>
      </c>
      <c r="I161" s="28">
        <f t="shared" si="14"/>
        <v>1556.6687500000385</v>
      </c>
      <c r="J161" s="36"/>
    </row>
    <row r="162" spans="2:10" x14ac:dyDescent="0.35">
      <c r="B162" s="10">
        <v>149</v>
      </c>
      <c r="C162" s="11">
        <f t="shared" si="15"/>
        <v>1552.6194444444527</v>
      </c>
      <c r="D162" s="11">
        <f t="shared" si="16"/>
        <v>858.4527777777862</v>
      </c>
      <c r="E162" s="11">
        <f t="shared" si="17"/>
        <v>694.16666666666663</v>
      </c>
      <c r="F162" s="11">
        <f t="shared" si="18"/>
        <v>146469.16666666811</v>
      </c>
      <c r="H162" s="24">
        <f t="shared" si="13"/>
        <v>4.0493055555557476</v>
      </c>
      <c r="I162" s="28">
        <f t="shared" si="14"/>
        <v>1552.6194444444159</v>
      </c>
      <c r="J162" s="36"/>
    </row>
    <row r="163" spans="2:10" x14ac:dyDescent="0.35">
      <c r="B163" s="10">
        <v>150</v>
      </c>
      <c r="C163" s="11">
        <f t="shared" si="15"/>
        <v>1548.5701388888974</v>
      </c>
      <c r="D163" s="11">
        <f t="shared" si="16"/>
        <v>854.40347222223068</v>
      </c>
      <c r="E163" s="11">
        <f t="shared" si="17"/>
        <v>694.16666666666663</v>
      </c>
      <c r="F163" s="11">
        <f t="shared" si="18"/>
        <v>145775.00000000146</v>
      </c>
      <c r="H163" s="24">
        <f t="shared" si="13"/>
        <v>4.0493055555552928</v>
      </c>
      <c r="I163" s="28">
        <f t="shared" si="14"/>
        <v>1548.5701388889279</v>
      </c>
      <c r="J163" s="36"/>
    </row>
    <row r="164" spans="2:10" x14ac:dyDescent="0.35">
      <c r="B164" s="10">
        <v>151</v>
      </c>
      <c r="C164" s="11">
        <f t="shared" si="15"/>
        <v>1544.5208333333417</v>
      </c>
      <c r="D164" s="11">
        <f t="shared" si="16"/>
        <v>850.35416666667516</v>
      </c>
      <c r="E164" s="11">
        <f t="shared" si="17"/>
        <v>694.16666666666663</v>
      </c>
      <c r="F164" s="11">
        <f t="shared" si="18"/>
        <v>145080.8333333348</v>
      </c>
      <c r="H164" s="24">
        <f t="shared" si="13"/>
        <v>4.0493055555557476</v>
      </c>
      <c r="I164" s="28">
        <f t="shared" si="14"/>
        <v>1544.5208333333044</v>
      </c>
      <c r="J164" s="36"/>
    </row>
    <row r="165" spans="2:10" x14ac:dyDescent="0.35">
      <c r="B165" s="10">
        <v>152</v>
      </c>
      <c r="C165" s="11">
        <f t="shared" si="15"/>
        <v>1540.4715277777864</v>
      </c>
      <c r="D165" s="11">
        <f t="shared" si="16"/>
        <v>846.30486111111975</v>
      </c>
      <c r="E165" s="11">
        <f t="shared" si="17"/>
        <v>694.16666666666663</v>
      </c>
      <c r="F165" s="11">
        <f t="shared" si="18"/>
        <v>144386.66666666814</v>
      </c>
      <c r="H165" s="24">
        <f t="shared" si="13"/>
        <v>4.0493055555552928</v>
      </c>
      <c r="I165" s="28">
        <f t="shared" si="14"/>
        <v>1540.4715277778173</v>
      </c>
      <c r="J165" s="36"/>
    </row>
    <row r="166" spans="2:10" x14ac:dyDescent="0.35">
      <c r="B166" s="10">
        <v>153</v>
      </c>
      <c r="C166" s="11">
        <f t="shared" si="15"/>
        <v>1536.4222222222309</v>
      </c>
      <c r="D166" s="11">
        <f t="shared" si="16"/>
        <v>842.25555555556423</v>
      </c>
      <c r="E166" s="11">
        <f t="shared" si="17"/>
        <v>694.16666666666663</v>
      </c>
      <c r="F166" s="11">
        <f t="shared" si="18"/>
        <v>143692.50000000148</v>
      </c>
      <c r="H166" s="24">
        <f t="shared" si="13"/>
        <v>4.0493055555555202</v>
      </c>
      <c r="I166" s="28">
        <f t="shared" si="14"/>
        <v>1536.4222222222274</v>
      </c>
      <c r="J166" s="36"/>
    </row>
    <row r="167" spans="2:10" x14ac:dyDescent="0.35">
      <c r="B167" s="10">
        <v>154</v>
      </c>
      <c r="C167" s="11">
        <f t="shared" si="15"/>
        <v>1532.3729166666753</v>
      </c>
      <c r="D167" s="11">
        <f t="shared" si="16"/>
        <v>838.20625000000871</v>
      </c>
      <c r="E167" s="11">
        <f t="shared" si="17"/>
        <v>694.16666666666663</v>
      </c>
      <c r="F167" s="11">
        <f t="shared" si="18"/>
        <v>142998.33333333483</v>
      </c>
      <c r="H167" s="24">
        <f t="shared" si="13"/>
        <v>4.0493055555555202</v>
      </c>
      <c r="I167" s="28">
        <f t="shared" si="14"/>
        <v>1532.3729166666719</v>
      </c>
      <c r="J167" s="36"/>
    </row>
    <row r="168" spans="2:10" x14ac:dyDescent="0.35">
      <c r="B168" s="10">
        <v>155</v>
      </c>
      <c r="C168" s="11">
        <f t="shared" si="15"/>
        <v>1528.3236111111198</v>
      </c>
      <c r="D168" s="11">
        <f t="shared" si="16"/>
        <v>834.15694444445319</v>
      </c>
      <c r="E168" s="11">
        <f t="shared" si="17"/>
        <v>694.16666666666663</v>
      </c>
      <c r="F168" s="11">
        <f t="shared" si="18"/>
        <v>142304.16666666817</v>
      </c>
      <c r="H168" s="24">
        <f t="shared" si="13"/>
        <v>4.0493055555555202</v>
      </c>
      <c r="I168" s="28">
        <f t="shared" si="14"/>
        <v>1528.3236111111164</v>
      </c>
      <c r="J168" s="36"/>
    </row>
    <row r="169" spans="2:10" x14ac:dyDescent="0.35">
      <c r="B169" s="10">
        <v>156</v>
      </c>
      <c r="C169" s="11">
        <f t="shared" si="15"/>
        <v>1524.2743055555643</v>
      </c>
      <c r="D169" s="11">
        <f t="shared" si="16"/>
        <v>830.10763888889767</v>
      </c>
      <c r="E169" s="11">
        <f t="shared" si="17"/>
        <v>694.16666666666663</v>
      </c>
      <c r="F169" s="11">
        <f t="shared" si="18"/>
        <v>141610.00000000151</v>
      </c>
      <c r="H169" s="24">
        <f t="shared" si="13"/>
        <v>4.0493055555555202</v>
      </c>
      <c r="I169" s="28">
        <f t="shared" si="14"/>
        <v>1524.2743055555609</v>
      </c>
      <c r="J169" s="36"/>
    </row>
    <row r="170" spans="2:10" x14ac:dyDescent="0.35">
      <c r="B170" s="10">
        <v>157</v>
      </c>
      <c r="C170" s="11">
        <f t="shared" si="15"/>
        <v>1520.2250000000088</v>
      </c>
      <c r="D170" s="11">
        <f t="shared" si="16"/>
        <v>826.05833333334215</v>
      </c>
      <c r="E170" s="11">
        <f t="shared" si="17"/>
        <v>694.16666666666663</v>
      </c>
      <c r="F170" s="11">
        <f t="shared" si="18"/>
        <v>140915.83333333486</v>
      </c>
      <c r="H170" s="24">
        <f t="shared" si="13"/>
        <v>4.0493055555555202</v>
      </c>
      <c r="I170" s="28">
        <f t="shared" si="14"/>
        <v>1520.2250000000054</v>
      </c>
      <c r="J170" s="36"/>
    </row>
    <row r="171" spans="2:10" x14ac:dyDescent="0.35">
      <c r="B171" s="10">
        <v>158</v>
      </c>
      <c r="C171" s="11">
        <f t="shared" si="15"/>
        <v>1516.1756944444533</v>
      </c>
      <c r="D171" s="11">
        <f t="shared" si="16"/>
        <v>822.00902777778674</v>
      </c>
      <c r="E171" s="11">
        <f t="shared" si="17"/>
        <v>694.16666666666663</v>
      </c>
      <c r="F171" s="11">
        <f t="shared" si="18"/>
        <v>140221.6666666682</v>
      </c>
      <c r="H171" s="24">
        <f t="shared" si="13"/>
        <v>4.0493055555555202</v>
      </c>
      <c r="I171" s="28">
        <f t="shared" si="14"/>
        <v>1516.1756944444498</v>
      </c>
      <c r="J171" s="36"/>
    </row>
    <row r="172" spans="2:10" x14ac:dyDescent="0.35">
      <c r="B172" s="10">
        <v>159</v>
      </c>
      <c r="C172" s="11">
        <f t="shared" si="15"/>
        <v>1512.126388888898</v>
      </c>
      <c r="D172" s="11">
        <f t="shared" si="16"/>
        <v>817.95972222223122</v>
      </c>
      <c r="E172" s="11">
        <f t="shared" si="17"/>
        <v>694.16666666666663</v>
      </c>
      <c r="F172" s="11">
        <f t="shared" si="18"/>
        <v>139527.50000000154</v>
      </c>
      <c r="H172" s="24">
        <f t="shared" ref="H172:H235" si="19">C171-C172</f>
        <v>4.0493055555552928</v>
      </c>
      <c r="I172" s="28">
        <f t="shared" ref="I172:I235" si="20">$I$14-((B172-1)*H172)</f>
        <v>1512.1263888889303</v>
      </c>
      <c r="J172" s="36"/>
    </row>
    <row r="173" spans="2:10" x14ac:dyDescent="0.35">
      <c r="B173" s="10">
        <v>160</v>
      </c>
      <c r="C173" s="11">
        <f t="shared" si="15"/>
        <v>1508.0770833333422</v>
      </c>
      <c r="D173" s="11">
        <f t="shared" si="16"/>
        <v>813.9104166666757</v>
      </c>
      <c r="E173" s="11">
        <f t="shared" si="17"/>
        <v>694.16666666666663</v>
      </c>
      <c r="F173" s="11">
        <f t="shared" si="18"/>
        <v>138833.33333333489</v>
      </c>
      <c r="H173" s="24">
        <f t="shared" si="19"/>
        <v>4.0493055555557476</v>
      </c>
      <c r="I173" s="28">
        <f t="shared" si="20"/>
        <v>1508.0770833333027</v>
      </c>
      <c r="J173" s="36"/>
    </row>
    <row r="174" spans="2:10" x14ac:dyDescent="0.35">
      <c r="B174" s="10">
        <v>161</v>
      </c>
      <c r="C174" s="11">
        <f t="shared" si="15"/>
        <v>1504.0277777777869</v>
      </c>
      <c r="D174" s="11">
        <f t="shared" si="16"/>
        <v>809.86111111112018</v>
      </c>
      <c r="E174" s="11">
        <f t="shared" si="17"/>
        <v>694.16666666666663</v>
      </c>
      <c r="F174" s="11">
        <f t="shared" si="18"/>
        <v>138139.16666666823</v>
      </c>
      <c r="H174" s="24">
        <f t="shared" si="19"/>
        <v>4.0493055555552928</v>
      </c>
      <c r="I174" s="28">
        <f t="shared" si="20"/>
        <v>1504.0277777778197</v>
      </c>
      <c r="J174" s="36"/>
    </row>
    <row r="175" spans="2:10" x14ac:dyDescent="0.35">
      <c r="B175" s="10">
        <v>162</v>
      </c>
      <c r="C175" s="11">
        <f t="shared" si="15"/>
        <v>1499.9784722222312</v>
      </c>
      <c r="D175" s="11">
        <f t="shared" si="16"/>
        <v>805.81180555556466</v>
      </c>
      <c r="E175" s="11">
        <f t="shared" si="17"/>
        <v>694.16666666666663</v>
      </c>
      <c r="F175" s="11">
        <f t="shared" si="18"/>
        <v>137445.00000000157</v>
      </c>
      <c r="H175" s="24">
        <f t="shared" si="19"/>
        <v>4.0493055555557476</v>
      </c>
      <c r="I175" s="28">
        <f t="shared" si="20"/>
        <v>1499.9784722221912</v>
      </c>
      <c r="J175" s="36"/>
    </row>
    <row r="176" spans="2:10" x14ac:dyDescent="0.35">
      <c r="B176" s="10">
        <v>163</v>
      </c>
      <c r="C176" s="11">
        <f t="shared" si="15"/>
        <v>1495.9291666666759</v>
      </c>
      <c r="D176" s="11">
        <f t="shared" si="16"/>
        <v>801.76250000000925</v>
      </c>
      <c r="E176" s="11">
        <f t="shared" si="17"/>
        <v>694.16666666666663</v>
      </c>
      <c r="F176" s="11">
        <f t="shared" si="18"/>
        <v>136750.83333333491</v>
      </c>
      <c r="H176" s="24">
        <f t="shared" si="19"/>
        <v>4.0493055555552928</v>
      </c>
      <c r="I176" s="28">
        <f t="shared" si="20"/>
        <v>1495.9291666667091</v>
      </c>
      <c r="J176" s="36"/>
    </row>
    <row r="177" spans="2:10" x14ac:dyDescent="0.35">
      <c r="B177" s="10">
        <v>164</v>
      </c>
      <c r="C177" s="11">
        <f t="shared" si="15"/>
        <v>1491.8798611111204</v>
      </c>
      <c r="D177" s="11">
        <f t="shared" si="16"/>
        <v>797.71319444445373</v>
      </c>
      <c r="E177" s="11">
        <f t="shared" si="17"/>
        <v>694.16666666666663</v>
      </c>
      <c r="F177" s="11">
        <f t="shared" si="18"/>
        <v>136056.66666666826</v>
      </c>
      <c r="H177" s="24">
        <f t="shared" si="19"/>
        <v>4.0493055555555202</v>
      </c>
      <c r="I177" s="28">
        <f t="shared" si="20"/>
        <v>1491.8798611111167</v>
      </c>
      <c r="J177" s="36"/>
    </row>
    <row r="178" spans="2:10" x14ac:dyDescent="0.35">
      <c r="B178" s="10">
        <v>165</v>
      </c>
      <c r="C178" s="11">
        <f t="shared" si="15"/>
        <v>1487.8305555555648</v>
      </c>
      <c r="D178" s="11">
        <f t="shared" si="16"/>
        <v>793.66388888889821</v>
      </c>
      <c r="E178" s="11">
        <f t="shared" si="17"/>
        <v>694.16666666666663</v>
      </c>
      <c r="F178" s="11">
        <f t="shared" si="18"/>
        <v>135362.5000000016</v>
      </c>
      <c r="H178" s="24">
        <f t="shared" si="19"/>
        <v>4.0493055555555202</v>
      </c>
      <c r="I178" s="28">
        <f t="shared" si="20"/>
        <v>1487.8305555555612</v>
      </c>
      <c r="J178" s="36"/>
    </row>
    <row r="179" spans="2:10" x14ac:dyDescent="0.35">
      <c r="B179" s="10">
        <v>166</v>
      </c>
      <c r="C179" s="11">
        <f t="shared" si="15"/>
        <v>1483.7812500000093</v>
      </c>
      <c r="D179" s="11">
        <f t="shared" si="16"/>
        <v>789.61458333334269</v>
      </c>
      <c r="E179" s="11">
        <f t="shared" si="17"/>
        <v>694.16666666666663</v>
      </c>
      <c r="F179" s="11">
        <f t="shared" si="18"/>
        <v>134668.33333333494</v>
      </c>
      <c r="H179" s="24">
        <f t="shared" si="19"/>
        <v>4.0493055555555202</v>
      </c>
      <c r="I179" s="28">
        <f t="shared" si="20"/>
        <v>1483.7812500000057</v>
      </c>
      <c r="J179" s="36"/>
    </row>
    <row r="180" spans="2:10" x14ac:dyDescent="0.35">
      <c r="B180" s="10">
        <v>167</v>
      </c>
      <c r="C180" s="11">
        <f t="shared" si="15"/>
        <v>1479.7319444444538</v>
      </c>
      <c r="D180" s="11">
        <f t="shared" si="16"/>
        <v>785.56527777778717</v>
      </c>
      <c r="E180" s="11">
        <f t="shared" si="17"/>
        <v>694.16666666666663</v>
      </c>
      <c r="F180" s="11">
        <f t="shared" si="18"/>
        <v>133974.16666666829</v>
      </c>
      <c r="H180" s="24">
        <f t="shared" si="19"/>
        <v>4.0493055555555202</v>
      </c>
      <c r="I180" s="28">
        <f t="shared" si="20"/>
        <v>1479.7319444444502</v>
      </c>
      <c r="J180" s="36"/>
    </row>
    <row r="181" spans="2:10" x14ac:dyDescent="0.35">
      <c r="B181" s="10">
        <v>168</v>
      </c>
      <c r="C181" s="11">
        <f t="shared" si="15"/>
        <v>1475.6826388888983</v>
      </c>
      <c r="D181" s="11">
        <f t="shared" si="16"/>
        <v>781.51597222223165</v>
      </c>
      <c r="E181" s="11">
        <f t="shared" si="17"/>
        <v>694.16666666666663</v>
      </c>
      <c r="F181" s="11">
        <f t="shared" si="18"/>
        <v>133280.00000000163</v>
      </c>
      <c r="H181" s="24">
        <f t="shared" si="19"/>
        <v>4.0493055555555202</v>
      </c>
      <c r="I181" s="28">
        <f t="shared" si="20"/>
        <v>1475.6826388888946</v>
      </c>
      <c r="J181" s="36"/>
    </row>
    <row r="182" spans="2:10" x14ac:dyDescent="0.35">
      <c r="B182" s="10">
        <v>169</v>
      </c>
      <c r="C182" s="11">
        <f t="shared" si="15"/>
        <v>1471.6333333333428</v>
      </c>
      <c r="D182" s="11">
        <f t="shared" si="16"/>
        <v>777.46666666667625</v>
      </c>
      <c r="E182" s="11">
        <f t="shared" si="17"/>
        <v>694.16666666666663</v>
      </c>
      <c r="F182" s="11">
        <f t="shared" si="18"/>
        <v>132585.83333333497</v>
      </c>
      <c r="H182" s="24">
        <f t="shared" si="19"/>
        <v>4.0493055555555202</v>
      </c>
      <c r="I182" s="28">
        <f t="shared" si="20"/>
        <v>1471.6333333333391</v>
      </c>
      <c r="J182" s="36"/>
    </row>
    <row r="183" spans="2:10" x14ac:dyDescent="0.35">
      <c r="B183" s="10">
        <v>170</v>
      </c>
      <c r="C183" s="11">
        <f t="shared" si="15"/>
        <v>1467.5840277777875</v>
      </c>
      <c r="D183" s="11">
        <f t="shared" si="16"/>
        <v>773.41736111112073</v>
      </c>
      <c r="E183" s="11">
        <f t="shared" si="17"/>
        <v>694.16666666666663</v>
      </c>
      <c r="F183" s="11">
        <f t="shared" si="18"/>
        <v>131891.66666666832</v>
      </c>
      <c r="H183" s="24">
        <f t="shared" si="19"/>
        <v>4.0493055555552928</v>
      </c>
      <c r="I183" s="28">
        <f t="shared" si="20"/>
        <v>1467.584027777822</v>
      </c>
      <c r="J183" s="36"/>
    </row>
    <row r="184" spans="2:10" x14ac:dyDescent="0.35">
      <c r="B184" s="10">
        <v>171</v>
      </c>
      <c r="C184" s="11">
        <f t="shared" si="15"/>
        <v>1463.5347222222317</v>
      </c>
      <c r="D184" s="11">
        <f t="shared" si="16"/>
        <v>769.36805555556521</v>
      </c>
      <c r="E184" s="11">
        <f t="shared" si="17"/>
        <v>694.16666666666663</v>
      </c>
      <c r="F184" s="11">
        <f t="shared" si="18"/>
        <v>131197.50000000166</v>
      </c>
      <c r="H184" s="24">
        <f t="shared" si="19"/>
        <v>4.0493055555557476</v>
      </c>
      <c r="I184" s="28">
        <f t="shared" si="20"/>
        <v>1463.5347222221894</v>
      </c>
      <c r="J184" s="36"/>
    </row>
    <row r="185" spans="2:10" x14ac:dyDescent="0.35">
      <c r="B185" s="10">
        <v>172</v>
      </c>
      <c r="C185" s="11">
        <f t="shared" si="15"/>
        <v>1459.4854166666764</v>
      </c>
      <c r="D185" s="11">
        <f t="shared" si="16"/>
        <v>765.31875000000969</v>
      </c>
      <c r="E185" s="11">
        <f t="shared" si="17"/>
        <v>694.16666666666663</v>
      </c>
      <c r="F185" s="11">
        <f t="shared" si="18"/>
        <v>130503.33333333499</v>
      </c>
      <c r="H185" s="24">
        <f t="shared" si="19"/>
        <v>4.0493055555552928</v>
      </c>
      <c r="I185" s="28">
        <f t="shared" si="20"/>
        <v>1459.4854166667114</v>
      </c>
      <c r="J185" s="36"/>
    </row>
    <row r="186" spans="2:10" x14ac:dyDescent="0.35">
      <c r="B186" s="10">
        <v>173</v>
      </c>
      <c r="C186" s="11">
        <f t="shared" si="15"/>
        <v>1455.4361111111207</v>
      </c>
      <c r="D186" s="11">
        <f t="shared" si="16"/>
        <v>761.26944444445417</v>
      </c>
      <c r="E186" s="11">
        <f t="shared" si="17"/>
        <v>694.16666666666663</v>
      </c>
      <c r="F186" s="11">
        <f t="shared" si="18"/>
        <v>129809.16666666832</v>
      </c>
      <c r="H186" s="24">
        <f t="shared" si="19"/>
        <v>4.0493055555557476</v>
      </c>
      <c r="I186" s="28">
        <f t="shared" si="20"/>
        <v>1455.4361111110779</v>
      </c>
      <c r="J186" s="36"/>
    </row>
    <row r="187" spans="2:10" x14ac:dyDescent="0.35">
      <c r="B187" s="10">
        <v>174</v>
      </c>
      <c r="C187" s="11">
        <f t="shared" si="15"/>
        <v>1451.3868055555652</v>
      </c>
      <c r="D187" s="11">
        <f t="shared" si="16"/>
        <v>757.22013888889853</v>
      </c>
      <c r="E187" s="11">
        <f t="shared" si="17"/>
        <v>694.16666666666663</v>
      </c>
      <c r="F187" s="11">
        <f t="shared" si="18"/>
        <v>129115.00000000164</v>
      </c>
      <c r="H187" s="24">
        <f t="shared" si="19"/>
        <v>4.0493055555555202</v>
      </c>
      <c r="I187" s="28">
        <f t="shared" si="20"/>
        <v>1451.3868055555615</v>
      </c>
      <c r="J187" s="36"/>
    </row>
    <row r="188" spans="2:10" x14ac:dyDescent="0.35">
      <c r="B188" s="10">
        <v>175</v>
      </c>
      <c r="C188" s="11">
        <f t="shared" si="15"/>
        <v>1447.3375000000096</v>
      </c>
      <c r="D188" s="11">
        <f t="shared" si="16"/>
        <v>753.17083333334301</v>
      </c>
      <c r="E188" s="11">
        <f t="shared" si="17"/>
        <v>694.16666666666663</v>
      </c>
      <c r="F188" s="11">
        <f t="shared" si="18"/>
        <v>128420.83333333497</v>
      </c>
      <c r="H188" s="24">
        <f t="shared" si="19"/>
        <v>4.0493055555555202</v>
      </c>
      <c r="I188" s="28">
        <f t="shared" si="20"/>
        <v>1447.337500000006</v>
      </c>
      <c r="J188" s="36"/>
    </row>
    <row r="189" spans="2:10" x14ac:dyDescent="0.35">
      <c r="B189" s="10">
        <v>176</v>
      </c>
      <c r="C189" s="11">
        <f t="shared" si="15"/>
        <v>1443.2881944444539</v>
      </c>
      <c r="D189" s="11">
        <f t="shared" si="16"/>
        <v>749.12152777778738</v>
      </c>
      <c r="E189" s="11">
        <f t="shared" si="17"/>
        <v>694.16666666666663</v>
      </c>
      <c r="F189" s="11">
        <f t="shared" si="18"/>
        <v>127726.6666666683</v>
      </c>
      <c r="H189" s="24">
        <f t="shared" si="19"/>
        <v>4.0493055555557476</v>
      </c>
      <c r="I189" s="28">
        <f t="shared" si="20"/>
        <v>1443.2881944444107</v>
      </c>
      <c r="J189" s="36"/>
    </row>
    <row r="190" spans="2:10" x14ac:dyDescent="0.35">
      <c r="B190" s="10">
        <v>177</v>
      </c>
      <c r="C190" s="11">
        <f t="shared" si="15"/>
        <v>1439.2388888888984</v>
      </c>
      <c r="D190" s="11">
        <f t="shared" si="16"/>
        <v>745.07222222223174</v>
      </c>
      <c r="E190" s="11">
        <f t="shared" si="17"/>
        <v>694.16666666666663</v>
      </c>
      <c r="F190" s="11">
        <f t="shared" si="18"/>
        <v>127032.50000000163</v>
      </c>
      <c r="H190" s="24">
        <f t="shared" si="19"/>
        <v>4.0493055555555202</v>
      </c>
      <c r="I190" s="28">
        <f t="shared" si="20"/>
        <v>1439.238888888895</v>
      </c>
      <c r="J190" s="36"/>
    </row>
    <row r="191" spans="2:10" x14ac:dyDescent="0.35">
      <c r="B191" s="10">
        <v>178</v>
      </c>
      <c r="C191" s="11">
        <f t="shared" si="15"/>
        <v>1435.1895833333429</v>
      </c>
      <c r="D191" s="11">
        <f t="shared" si="16"/>
        <v>741.02291666667622</v>
      </c>
      <c r="E191" s="11">
        <f t="shared" si="17"/>
        <v>694.16666666666663</v>
      </c>
      <c r="F191" s="11">
        <f t="shared" si="18"/>
        <v>126338.33333333496</v>
      </c>
      <c r="H191" s="24">
        <f t="shared" si="19"/>
        <v>4.0493055555555202</v>
      </c>
      <c r="I191" s="28">
        <f t="shared" si="20"/>
        <v>1435.1895833333394</v>
      </c>
      <c r="J191" s="36"/>
    </row>
    <row r="192" spans="2:10" x14ac:dyDescent="0.35">
      <c r="B192" s="10">
        <v>179</v>
      </c>
      <c r="C192" s="11">
        <f t="shared" si="15"/>
        <v>1431.1402777777871</v>
      </c>
      <c r="D192" s="11">
        <f t="shared" si="16"/>
        <v>736.97361111112059</v>
      </c>
      <c r="E192" s="11">
        <f t="shared" si="17"/>
        <v>694.16666666666663</v>
      </c>
      <c r="F192" s="11">
        <f t="shared" si="18"/>
        <v>125644.16666666829</v>
      </c>
      <c r="H192" s="24">
        <f t="shared" si="19"/>
        <v>4.0493055555557476</v>
      </c>
      <c r="I192" s="28">
        <f t="shared" si="20"/>
        <v>1431.1402777777434</v>
      </c>
      <c r="J192" s="36"/>
    </row>
    <row r="193" spans="2:10" x14ac:dyDescent="0.35">
      <c r="B193" s="10">
        <v>180</v>
      </c>
      <c r="C193" s="11">
        <f t="shared" si="15"/>
        <v>1427.0909722222318</v>
      </c>
      <c r="D193" s="11">
        <f t="shared" si="16"/>
        <v>732.92430555556507</v>
      </c>
      <c r="E193" s="11">
        <f t="shared" si="17"/>
        <v>694.16666666666663</v>
      </c>
      <c r="F193" s="11">
        <f t="shared" si="18"/>
        <v>124950.00000000162</v>
      </c>
      <c r="H193" s="24">
        <f t="shared" si="19"/>
        <v>4.0493055555552928</v>
      </c>
      <c r="I193" s="28">
        <f t="shared" si="20"/>
        <v>1427.0909722222691</v>
      </c>
      <c r="J193" s="36"/>
    </row>
    <row r="194" spans="2:10" x14ac:dyDescent="0.35">
      <c r="B194" s="10">
        <v>181</v>
      </c>
      <c r="C194" s="11">
        <f t="shared" si="15"/>
        <v>1423.0416666666761</v>
      </c>
      <c r="D194" s="11">
        <f t="shared" si="16"/>
        <v>728.87500000000944</v>
      </c>
      <c r="E194" s="11">
        <f t="shared" si="17"/>
        <v>694.16666666666663</v>
      </c>
      <c r="F194" s="11">
        <f t="shared" si="18"/>
        <v>124255.83333333494</v>
      </c>
      <c r="H194" s="24">
        <f t="shared" si="19"/>
        <v>4.0493055555557476</v>
      </c>
      <c r="I194" s="28">
        <f t="shared" si="20"/>
        <v>1423.041666666632</v>
      </c>
      <c r="J194" s="36"/>
    </row>
    <row r="195" spans="2:10" x14ac:dyDescent="0.35">
      <c r="B195" s="10">
        <v>182</v>
      </c>
      <c r="C195" s="11">
        <f t="shared" si="15"/>
        <v>1418.9923611111205</v>
      </c>
      <c r="D195" s="11">
        <f t="shared" si="16"/>
        <v>724.82569444445392</v>
      </c>
      <c r="E195" s="11">
        <f t="shared" si="17"/>
        <v>694.16666666666663</v>
      </c>
      <c r="F195" s="11">
        <f t="shared" si="18"/>
        <v>123561.66666666827</v>
      </c>
      <c r="H195" s="24">
        <f t="shared" si="19"/>
        <v>4.0493055555555202</v>
      </c>
      <c r="I195" s="28">
        <f t="shared" si="20"/>
        <v>1418.9923611111174</v>
      </c>
      <c r="J195" s="36"/>
    </row>
    <row r="196" spans="2:10" x14ac:dyDescent="0.35">
      <c r="B196" s="10">
        <v>183</v>
      </c>
      <c r="C196" s="11">
        <f t="shared" si="15"/>
        <v>1414.943055555565</v>
      </c>
      <c r="D196" s="11">
        <f t="shared" si="16"/>
        <v>720.77638888889828</v>
      </c>
      <c r="E196" s="11">
        <f t="shared" si="17"/>
        <v>694.16666666666663</v>
      </c>
      <c r="F196" s="11">
        <f t="shared" si="18"/>
        <v>122867.5000000016</v>
      </c>
      <c r="H196" s="24">
        <f t="shared" si="19"/>
        <v>4.0493055555555202</v>
      </c>
      <c r="I196" s="28">
        <f t="shared" si="20"/>
        <v>1414.9430555555618</v>
      </c>
      <c r="J196" s="36"/>
    </row>
    <row r="197" spans="2:10" x14ac:dyDescent="0.35">
      <c r="B197" s="10">
        <v>184</v>
      </c>
      <c r="C197" s="11">
        <f t="shared" si="15"/>
        <v>1410.8937500000093</v>
      </c>
      <c r="D197" s="11">
        <f t="shared" si="16"/>
        <v>716.72708333334265</v>
      </c>
      <c r="E197" s="11">
        <f t="shared" si="17"/>
        <v>694.16666666666663</v>
      </c>
      <c r="F197" s="11">
        <f t="shared" si="18"/>
        <v>122173.33333333493</v>
      </c>
      <c r="H197" s="24">
        <f t="shared" si="19"/>
        <v>4.0493055555557476</v>
      </c>
      <c r="I197" s="28">
        <f t="shared" si="20"/>
        <v>1410.8937499999647</v>
      </c>
      <c r="J197" s="36"/>
    </row>
    <row r="198" spans="2:10" x14ac:dyDescent="0.35">
      <c r="B198" s="10">
        <v>185</v>
      </c>
      <c r="C198" s="11">
        <f t="shared" si="15"/>
        <v>1406.8444444444538</v>
      </c>
      <c r="D198" s="11">
        <f t="shared" si="16"/>
        <v>712.67777777778713</v>
      </c>
      <c r="E198" s="11">
        <f t="shared" si="17"/>
        <v>694.16666666666663</v>
      </c>
      <c r="F198" s="11">
        <f t="shared" si="18"/>
        <v>121479.16666666826</v>
      </c>
      <c r="H198" s="24">
        <f t="shared" si="19"/>
        <v>4.0493055555555202</v>
      </c>
      <c r="I198" s="28">
        <f t="shared" si="20"/>
        <v>1406.8444444444508</v>
      </c>
      <c r="J198" s="36"/>
    </row>
    <row r="199" spans="2:10" x14ac:dyDescent="0.35">
      <c r="B199" s="10">
        <v>186</v>
      </c>
      <c r="C199" s="11">
        <f t="shared" si="15"/>
        <v>1402.7951388888982</v>
      </c>
      <c r="D199" s="11">
        <f t="shared" si="16"/>
        <v>708.62847222223149</v>
      </c>
      <c r="E199" s="11">
        <f t="shared" si="17"/>
        <v>694.16666666666663</v>
      </c>
      <c r="F199" s="11">
        <f t="shared" si="18"/>
        <v>120785.00000000159</v>
      </c>
      <c r="H199" s="24">
        <f t="shared" si="19"/>
        <v>4.0493055555555202</v>
      </c>
      <c r="I199" s="28">
        <f t="shared" si="20"/>
        <v>1402.7951388888953</v>
      </c>
      <c r="J199" s="36"/>
    </row>
    <row r="200" spans="2:10" x14ac:dyDescent="0.35">
      <c r="B200" s="10">
        <v>187</v>
      </c>
      <c r="C200" s="11">
        <f t="shared" si="15"/>
        <v>1398.7458333333425</v>
      </c>
      <c r="D200" s="11">
        <f t="shared" si="16"/>
        <v>704.57916666667597</v>
      </c>
      <c r="E200" s="11">
        <f t="shared" si="17"/>
        <v>694.16666666666663</v>
      </c>
      <c r="F200" s="11">
        <f t="shared" si="18"/>
        <v>120090.83333333491</v>
      </c>
      <c r="H200" s="24">
        <f t="shared" si="19"/>
        <v>4.0493055555557476</v>
      </c>
      <c r="I200" s="28">
        <f t="shared" si="20"/>
        <v>1398.7458333332975</v>
      </c>
      <c r="J200" s="36"/>
    </row>
    <row r="201" spans="2:10" x14ac:dyDescent="0.35">
      <c r="B201" s="10">
        <v>188</v>
      </c>
      <c r="C201" s="11">
        <f t="shared" si="15"/>
        <v>1394.696527777787</v>
      </c>
      <c r="D201" s="11">
        <f t="shared" si="16"/>
        <v>700.52986111112034</v>
      </c>
      <c r="E201" s="11">
        <f t="shared" si="17"/>
        <v>694.16666666666663</v>
      </c>
      <c r="F201" s="11">
        <f t="shared" si="18"/>
        <v>119396.66666666824</v>
      </c>
      <c r="H201" s="24">
        <f t="shared" si="19"/>
        <v>4.0493055555555202</v>
      </c>
      <c r="I201" s="28">
        <f t="shared" si="20"/>
        <v>1394.6965277777842</v>
      </c>
      <c r="J201" s="36"/>
    </row>
    <row r="202" spans="2:10" x14ac:dyDescent="0.35">
      <c r="B202" s="10">
        <v>189</v>
      </c>
      <c r="C202" s="11">
        <f t="shared" si="15"/>
        <v>1390.6472222222314</v>
      </c>
      <c r="D202" s="11">
        <f t="shared" si="16"/>
        <v>696.48055555556482</v>
      </c>
      <c r="E202" s="11">
        <f t="shared" si="17"/>
        <v>694.16666666666663</v>
      </c>
      <c r="F202" s="11">
        <f t="shared" si="18"/>
        <v>118702.50000000157</v>
      </c>
      <c r="H202" s="24">
        <f t="shared" si="19"/>
        <v>4.0493055555555202</v>
      </c>
      <c r="I202" s="28">
        <f t="shared" si="20"/>
        <v>1390.6472222222287</v>
      </c>
      <c r="J202" s="36"/>
    </row>
    <row r="203" spans="2:10" x14ac:dyDescent="0.35">
      <c r="B203" s="10">
        <v>190</v>
      </c>
      <c r="C203" s="11">
        <f t="shared" si="15"/>
        <v>1386.5979166666757</v>
      </c>
      <c r="D203" s="11">
        <f t="shared" si="16"/>
        <v>692.43125000000919</v>
      </c>
      <c r="E203" s="11">
        <f t="shared" si="17"/>
        <v>694.16666666666663</v>
      </c>
      <c r="F203" s="11">
        <f t="shared" si="18"/>
        <v>118008.3333333349</v>
      </c>
      <c r="H203" s="24">
        <f t="shared" si="19"/>
        <v>4.0493055555557476</v>
      </c>
      <c r="I203" s="28">
        <f t="shared" si="20"/>
        <v>1386.5979166666302</v>
      </c>
      <c r="J203" s="36"/>
    </row>
    <row r="204" spans="2:10" x14ac:dyDescent="0.35">
      <c r="B204" s="10">
        <v>191</v>
      </c>
      <c r="C204" s="11">
        <f t="shared" si="15"/>
        <v>1382.5486111111204</v>
      </c>
      <c r="D204" s="11">
        <f t="shared" si="16"/>
        <v>688.38194444445367</v>
      </c>
      <c r="E204" s="11">
        <f t="shared" si="17"/>
        <v>694.16666666666663</v>
      </c>
      <c r="F204" s="11">
        <f t="shared" si="18"/>
        <v>117314.16666666823</v>
      </c>
      <c r="H204" s="24">
        <f t="shared" si="19"/>
        <v>4.0493055555552928</v>
      </c>
      <c r="I204" s="28">
        <f t="shared" si="20"/>
        <v>1382.5486111111609</v>
      </c>
      <c r="J204" s="36"/>
    </row>
    <row r="205" spans="2:10" x14ac:dyDescent="0.35">
      <c r="B205" s="10">
        <v>192</v>
      </c>
      <c r="C205" s="11">
        <f t="shared" si="15"/>
        <v>1378.4993055555647</v>
      </c>
      <c r="D205" s="11">
        <f t="shared" si="16"/>
        <v>684.33263888889803</v>
      </c>
      <c r="E205" s="11">
        <f t="shared" si="17"/>
        <v>694.16666666666663</v>
      </c>
      <c r="F205" s="11">
        <f t="shared" si="18"/>
        <v>116620.00000000156</v>
      </c>
      <c r="H205" s="24">
        <f t="shared" si="19"/>
        <v>4.0493055555557476</v>
      </c>
      <c r="I205" s="28">
        <f t="shared" si="20"/>
        <v>1378.4993055555187</v>
      </c>
      <c r="J205" s="36"/>
    </row>
    <row r="206" spans="2:10" x14ac:dyDescent="0.35">
      <c r="B206" s="10">
        <v>193</v>
      </c>
      <c r="C206" s="11">
        <f t="shared" si="15"/>
        <v>1374.4500000000089</v>
      </c>
      <c r="D206" s="11">
        <f t="shared" si="16"/>
        <v>680.2833333333424</v>
      </c>
      <c r="E206" s="11">
        <f t="shared" si="17"/>
        <v>694.16666666666663</v>
      </c>
      <c r="F206" s="11">
        <f t="shared" si="18"/>
        <v>115925.83333333489</v>
      </c>
      <c r="H206" s="24">
        <f t="shared" si="19"/>
        <v>4.0493055555557476</v>
      </c>
      <c r="I206" s="28">
        <f t="shared" si="20"/>
        <v>1374.449999999963</v>
      </c>
      <c r="J206" s="36"/>
    </row>
    <row r="207" spans="2:10" x14ac:dyDescent="0.35">
      <c r="B207" s="10">
        <v>194</v>
      </c>
      <c r="C207" s="11">
        <f t="shared" ref="C207:C270" si="21">D207+E207</f>
        <v>1370.4006944444536</v>
      </c>
      <c r="D207" s="11">
        <f t="shared" ref="D207:D270" si="22">F206*$C$5</f>
        <v>676.23402777778688</v>
      </c>
      <c r="E207" s="11">
        <f t="shared" ref="E207:E270" si="23">$C$10</f>
        <v>694.16666666666663</v>
      </c>
      <c r="F207" s="11">
        <f t="shared" ref="F207:F270" si="24">F206-E207</f>
        <v>115231.66666666821</v>
      </c>
      <c r="H207" s="24">
        <f t="shared" si="19"/>
        <v>4.0493055555552928</v>
      </c>
      <c r="I207" s="28">
        <f t="shared" si="20"/>
        <v>1370.400694444495</v>
      </c>
      <c r="J207" s="36"/>
    </row>
    <row r="208" spans="2:10" x14ac:dyDescent="0.35">
      <c r="B208" s="10">
        <v>195</v>
      </c>
      <c r="C208" s="11">
        <f t="shared" si="21"/>
        <v>1366.3513888888979</v>
      </c>
      <c r="D208" s="11">
        <f t="shared" si="22"/>
        <v>672.18472222223124</v>
      </c>
      <c r="E208" s="11">
        <f t="shared" si="23"/>
        <v>694.16666666666663</v>
      </c>
      <c r="F208" s="11">
        <f t="shared" si="24"/>
        <v>114537.50000000154</v>
      </c>
      <c r="H208" s="24">
        <f t="shared" si="19"/>
        <v>4.0493055555557476</v>
      </c>
      <c r="I208" s="28">
        <f t="shared" si="20"/>
        <v>1366.3513888888515</v>
      </c>
      <c r="J208" s="36"/>
    </row>
    <row r="209" spans="2:10" x14ac:dyDescent="0.35">
      <c r="B209" s="10">
        <v>196</v>
      </c>
      <c r="C209" s="11">
        <f t="shared" si="21"/>
        <v>1362.3020833333424</v>
      </c>
      <c r="D209" s="11">
        <f t="shared" si="22"/>
        <v>668.13541666667572</v>
      </c>
      <c r="E209" s="11">
        <f t="shared" si="23"/>
        <v>694.16666666666663</v>
      </c>
      <c r="F209" s="11">
        <f t="shared" si="24"/>
        <v>113843.33333333487</v>
      </c>
      <c r="H209" s="24">
        <f t="shared" si="19"/>
        <v>4.0493055555555202</v>
      </c>
      <c r="I209" s="28">
        <f t="shared" si="20"/>
        <v>1362.3020833333401</v>
      </c>
      <c r="J209" s="36"/>
    </row>
    <row r="210" spans="2:10" x14ac:dyDescent="0.35">
      <c r="B210" s="10">
        <v>197</v>
      </c>
      <c r="C210" s="11">
        <f t="shared" si="21"/>
        <v>1358.2527777777868</v>
      </c>
      <c r="D210" s="11">
        <f t="shared" si="22"/>
        <v>664.08611111112009</v>
      </c>
      <c r="E210" s="11">
        <f t="shared" si="23"/>
        <v>694.16666666666663</v>
      </c>
      <c r="F210" s="11">
        <f t="shared" si="24"/>
        <v>113149.1666666682</v>
      </c>
      <c r="H210" s="24">
        <f t="shared" si="19"/>
        <v>4.0493055555555202</v>
      </c>
      <c r="I210" s="28">
        <f t="shared" si="20"/>
        <v>1358.2527777777846</v>
      </c>
      <c r="J210" s="36"/>
    </row>
    <row r="211" spans="2:10" x14ac:dyDescent="0.35">
      <c r="B211" s="10">
        <v>198</v>
      </c>
      <c r="C211" s="11">
        <f t="shared" si="21"/>
        <v>1354.2034722222311</v>
      </c>
      <c r="D211" s="11">
        <f t="shared" si="22"/>
        <v>660.03680555556457</v>
      </c>
      <c r="E211" s="11">
        <f t="shared" si="23"/>
        <v>694.16666666666663</v>
      </c>
      <c r="F211" s="11">
        <f t="shared" si="24"/>
        <v>112455.00000000153</v>
      </c>
      <c r="H211" s="24">
        <f t="shared" si="19"/>
        <v>4.0493055555557476</v>
      </c>
      <c r="I211" s="28">
        <f t="shared" si="20"/>
        <v>1354.2034722221842</v>
      </c>
      <c r="J211" s="36"/>
    </row>
    <row r="212" spans="2:10" x14ac:dyDescent="0.35">
      <c r="B212" s="10">
        <v>199</v>
      </c>
      <c r="C212" s="11">
        <f t="shared" si="21"/>
        <v>1350.1541666666756</v>
      </c>
      <c r="D212" s="11">
        <f t="shared" si="22"/>
        <v>655.98750000000894</v>
      </c>
      <c r="E212" s="11">
        <f t="shared" si="23"/>
        <v>694.16666666666663</v>
      </c>
      <c r="F212" s="11">
        <f t="shared" si="24"/>
        <v>111760.83333333486</v>
      </c>
      <c r="H212" s="24">
        <f t="shared" si="19"/>
        <v>4.0493055555555202</v>
      </c>
      <c r="I212" s="28">
        <f t="shared" si="20"/>
        <v>1350.1541666666735</v>
      </c>
      <c r="J212" s="36"/>
    </row>
    <row r="213" spans="2:10" x14ac:dyDescent="0.35">
      <c r="B213" s="10">
        <v>200</v>
      </c>
      <c r="C213" s="11">
        <f t="shared" si="21"/>
        <v>1346.10486111112</v>
      </c>
      <c r="D213" s="11">
        <f t="shared" si="22"/>
        <v>651.93819444445342</v>
      </c>
      <c r="E213" s="11">
        <f t="shared" si="23"/>
        <v>694.16666666666663</v>
      </c>
      <c r="F213" s="11">
        <f t="shared" si="24"/>
        <v>111066.66666666818</v>
      </c>
      <c r="H213" s="24">
        <f t="shared" si="19"/>
        <v>4.0493055555555202</v>
      </c>
      <c r="I213" s="28">
        <f t="shared" si="20"/>
        <v>1346.104861111118</v>
      </c>
      <c r="J213" s="36"/>
    </row>
    <row r="214" spans="2:10" x14ac:dyDescent="0.35">
      <c r="B214" s="10">
        <v>201</v>
      </c>
      <c r="C214" s="11">
        <f t="shared" si="21"/>
        <v>1342.0555555555643</v>
      </c>
      <c r="D214" s="11">
        <f t="shared" si="22"/>
        <v>647.88888888889778</v>
      </c>
      <c r="E214" s="11">
        <f t="shared" si="23"/>
        <v>694.16666666666663</v>
      </c>
      <c r="F214" s="11">
        <f t="shared" si="24"/>
        <v>110372.50000000151</v>
      </c>
      <c r="H214" s="24">
        <f t="shared" si="19"/>
        <v>4.0493055555557476</v>
      </c>
      <c r="I214" s="28">
        <f t="shared" si="20"/>
        <v>1342.055555555517</v>
      </c>
      <c r="J214" s="36"/>
    </row>
    <row r="215" spans="2:10" x14ac:dyDescent="0.35">
      <c r="B215" s="10">
        <v>202</v>
      </c>
      <c r="C215" s="11">
        <f t="shared" si="21"/>
        <v>1338.0062500000088</v>
      </c>
      <c r="D215" s="11">
        <f t="shared" si="22"/>
        <v>643.83958333334215</v>
      </c>
      <c r="E215" s="11">
        <f t="shared" si="23"/>
        <v>694.16666666666663</v>
      </c>
      <c r="F215" s="11">
        <f t="shared" si="24"/>
        <v>109678.33333333484</v>
      </c>
      <c r="H215" s="24">
        <f t="shared" si="19"/>
        <v>4.0493055555555202</v>
      </c>
      <c r="I215" s="28">
        <f t="shared" si="20"/>
        <v>1338.006250000007</v>
      </c>
      <c r="J215" s="36"/>
    </row>
    <row r="216" spans="2:10" x14ac:dyDescent="0.35">
      <c r="B216" s="10">
        <v>203</v>
      </c>
      <c r="C216" s="11">
        <f t="shared" si="21"/>
        <v>1333.9569444444533</v>
      </c>
      <c r="D216" s="11">
        <f t="shared" si="22"/>
        <v>639.79027777778663</v>
      </c>
      <c r="E216" s="11">
        <f t="shared" si="23"/>
        <v>694.16666666666663</v>
      </c>
      <c r="F216" s="11">
        <f t="shared" si="24"/>
        <v>108984.16666666817</v>
      </c>
      <c r="H216" s="24">
        <f t="shared" si="19"/>
        <v>4.0493055555555202</v>
      </c>
      <c r="I216" s="28">
        <f t="shared" si="20"/>
        <v>1333.9569444444514</v>
      </c>
      <c r="J216" s="36"/>
    </row>
    <row r="217" spans="2:10" x14ac:dyDescent="0.35">
      <c r="B217" s="10">
        <v>204</v>
      </c>
      <c r="C217" s="11">
        <f t="shared" si="21"/>
        <v>1329.9076388888975</v>
      </c>
      <c r="D217" s="11">
        <f t="shared" si="22"/>
        <v>635.74097222223099</v>
      </c>
      <c r="E217" s="11">
        <f t="shared" si="23"/>
        <v>694.16666666666663</v>
      </c>
      <c r="F217" s="11">
        <f t="shared" si="24"/>
        <v>108290.0000000015</v>
      </c>
      <c r="H217" s="24">
        <f t="shared" si="19"/>
        <v>4.0493055555557476</v>
      </c>
      <c r="I217" s="28">
        <f t="shared" si="20"/>
        <v>1329.9076388888498</v>
      </c>
      <c r="J217" s="36"/>
    </row>
    <row r="218" spans="2:10" x14ac:dyDescent="0.35">
      <c r="B218" s="10">
        <v>205</v>
      </c>
      <c r="C218" s="11">
        <f t="shared" si="21"/>
        <v>1325.8583333333422</v>
      </c>
      <c r="D218" s="11">
        <f t="shared" si="22"/>
        <v>631.69166666667547</v>
      </c>
      <c r="E218" s="11">
        <f t="shared" si="23"/>
        <v>694.16666666666663</v>
      </c>
      <c r="F218" s="11">
        <f t="shared" si="24"/>
        <v>107595.83333333483</v>
      </c>
      <c r="H218" s="24">
        <f t="shared" si="19"/>
        <v>4.0493055555552928</v>
      </c>
      <c r="I218" s="28">
        <f t="shared" si="20"/>
        <v>1325.8583333333868</v>
      </c>
      <c r="J218" s="36"/>
    </row>
    <row r="219" spans="2:10" x14ac:dyDescent="0.35">
      <c r="B219" s="10">
        <v>206</v>
      </c>
      <c r="C219" s="11">
        <f t="shared" si="21"/>
        <v>1321.8090277777865</v>
      </c>
      <c r="D219" s="11">
        <f t="shared" si="22"/>
        <v>627.64236111111984</v>
      </c>
      <c r="E219" s="11">
        <f t="shared" si="23"/>
        <v>694.16666666666663</v>
      </c>
      <c r="F219" s="11">
        <f t="shared" si="24"/>
        <v>106901.66666666816</v>
      </c>
      <c r="H219" s="24">
        <f t="shared" si="19"/>
        <v>4.0493055555557476</v>
      </c>
      <c r="I219" s="28">
        <f t="shared" si="20"/>
        <v>1321.8090277777383</v>
      </c>
      <c r="J219" s="36"/>
    </row>
    <row r="220" spans="2:10" x14ac:dyDescent="0.35">
      <c r="B220" s="10">
        <v>207</v>
      </c>
      <c r="C220" s="11">
        <f t="shared" si="21"/>
        <v>1317.7597222222309</v>
      </c>
      <c r="D220" s="11">
        <f t="shared" si="22"/>
        <v>623.59305555556432</v>
      </c>
      <c r="E220" s="11">
        <f t="shared" si="23"/>
        <v>694.16666666666663</v>
      </c>
      <c r="F220" s="11">
        <f t="shared" si="24"/>
        <v>106207.50000000148</v>
      </c>
      <c r="H220" s="24">
        <f t="shared" si="19"/>
        <v>4.0493055555555202</v>
      </c>
      <c r="I220" s="28">
        <f t="shared" si="20"/>
        <v>1317.7597222222294</v>
      </c>
      <c r="J220" s="36"/>
    </row>
    <row r="221" spans="2:10" x14ac:dyDescent="0.35">
      <c r="B221" s="10">
        <v>208</v>
      </c>
      <c r="C221" s="11">
        <f t="shared" si="21"/>
        <v>1313.7104166666754</v>
      </c>
      <c r="D221" s="11">
        <f t="shared" si="22"/>
        <v>619.54375000000869</v>
      </c>
      <c r="E221" s="11">
        <f t="shared" si="23"/>
        <v>694.16666666666663</v>
      </c>
      <c r="F221" s="11">
        <f t="shared" si="24"/>
        <v>105513.33333333481</v>
      </c>
      <c r="H221" s="24">
        <f t="shared" si="19"/>
        <v>4.0493055555555202</v>
      </c>
      <c r="I221" s="28">
        <f t="shared" si="20"/>
        <v>1313.7104166666738</v>
      </c>
      <c r="J221" s="36"/>
    </row>
    <row r="222" spans="2:10" x14ac:dyDescent="0.35">
      <c r="B222" s="10">
        <v>209</v>
      </c>
      <c r="C222" s="11">
        <f t="shared" si="21"/>
        <v>1309.6611111111197</v>
      </c>
      <c r="D222" s="11">
        <f t="shared" si="22"/>
        <v>615.49444444445305</v>
      </c>
      <c r="E222" s="11">
        <f t="shared" si="23"/>
        <v>694.16666666666663</v>
      </c>
      <c r="F222" s="11">
        <f t="shared" si="24"/>
        <v>104819.16666666814</v>
      </c>
      <c r="H222" s="24">
        <f t="shared" si="19"/>
        <v>4.0493055555557476</v>
      </c>
      <c r="I222" s="28">
        <f t="shared" si="20"/>
        <v>1309.661111111071</v>
      </c>
      <c r="J222" s="36"/>
    </row>
    <row r="223" spans="2:10" x14ac:dyDescent="0.35">
      <c r="B223" s="10">
        <v>210</v>
      </c>
      <c r="C223" s="11">
        <f t="shared" si="21"/>
        <v>1305.6118055555642</v>
      </c>
      <c r="D223" s="11">
        <f t="shared" si="22"/>
        <v>611.44513888889753</v>
      </c>
      <c r="E223" s="11">
        <f t="shared" si="23"/>
        <v>694.16666666666663</v>
      </c>
      <c r="F223" s="11">
        <f t="shared" si="24"/>
        <v>104125.00000000147</v>
      </c>
      <c r="H223" s="24">
        <f t="shared" si="19"/>
        <v>4.0493055555555202</v>
      </c>
      <c r="I223" s="28">
        <f t="shared" si="20"/>
        <v>1305.6118055555628</v>
      </c>
      <c r="J223" s="36"/>
    </row>
    <row r="224" spans="2:10" x14ac:dyDescent="0.35">
      <c r="B224" s="10">
        <v>211</v>
      </c>
      <c r="C224" s="11">
        <f t="shared" si="21"/>
        <v>1301.5625000000086</v>
      </c>
      <c r="D224" s="11">
        <f t="shared" si="22"/>
        <v>607.3958333333419</v>
      </c>
      <c r="E224" s="11">
        <f t="shared" si="23"/>
        <v>694.16666666666663</v>
      </c>
      <c r="F224" s="11">
        <f t="shared" si="24"/>
        <v>103430.8333333348</v>
      </c>
      <c r="H224" s="24">
        <f t="shared" si="19"/>
        <v>4.0493055555555202</v>
      </c>
      <c r="I224" s="28">
        <f t="shared" si="20"/>
        <v>1301.5625000000073</v>
      </c>
      <c r="J224" s="36"/>
    </row>
    <row r="225" spans="2:10" x14ac:dyDescent="0.35">
      <c r="B225" s="10">
        <v>212</v>
      </c>
      <c r="C225" s="11">
        <f t="shared" si="21"/>
        <v>1297.5131944444529</v>
      </c>
      <c r="D225" s="11">
        <f t="shared" si="22"/>
        <v>603.34652777778638</v>
      </c>
      <c r="E225" s="11">
        <f t="shared" si="23"/>
        <v>694.16666666666663</v>
      </c>
      <c r="F225" s="11">
        <f t="shared" si="24"/>
        <v>102736.66666666813</v>
      </c>
      <c r="H225" s="24">
        <f t="shared" si="19"/>
        <v>4.0493055555557476</v>
      </c>
      <c r="I225" s="28">
        <f t="shared" si="20"/>
        <v>1297.5131944444038</v>
      </c>
      <c r="J225" s="36"/>
    </row>
    <row r="226" spans="2:10" x14ac:dyDescent="0.35">
      <c r="B226" s="10">
        <v>213</v>
      </c>
      <c r="C226" s="11">
        <f t="shared" si="21"/>
        <v>1293.4638888888974</v>
      </c>
      <c r="D226" s="11">
        <f t="shared" si="22"/>
        <v>599.29722222223074</v>
      </c>
      <c r="E226" s="11">
        <f t="shared" si="23"/>
        <v>694.16666666666663</v>
      </c>
      <c r="F226" s="11">
        <f t="shared" si="24"/>
        <v>102042.50000000146</v>
      </c>
      <c r="H226" s="24">
        <f t="shared" si="19"/>
        <v>4.0493055555555202</v>
      </c>
      <c r="I226" s="28">
        <f t="shared" si="20"/>
        <v>1293.4638888888962</v>
      </c>
      <c r="J226" s="36"/>
    </row>
    <row r="227" spans="2:10" x14ac:dyDescent="0.35">
      <c r="B227" s="10">
        <v>214</v>
      </c>
      <c r="C227" s="11">
        <f t="shared" si="21"/>
        <v>1289.4145833333419</v>
      </c>
      <c r="D227" s="11">
        <f t="shared" si="22"/>
        <v>595.24791666667522</v>
      </c>
      <c r="E227" s="11">
        <f t="shared" si="23"/>
        <v>694.16666666666663</v>
      </c>
      <c r="F227" s="11">
        <f t="shared" si="24"/>
        <v>101348.33333333478</v>
      </c>
      <c r="H227" s="24">
        <f t="shared" si="19"/>
        <v>4.0493055555555202</v>
      </c>
      <c r="I227" s="28">
        <f t="shared" si="20"/>
        <v>1289.4145833333407</v>
      </c>
      <c r="J227" s="36"/>
    </row>
    <row r="228" spans="2:10" x14ac:dyDescent="0.35">
      <c r="B228" s="10">
        <v>215</v>
      </c>
      <c r="C228" s="11">
        <f t="shared" si="21"/>
        <v>1285.3652777777861</v>
      </c>
      <c r="D228" s="11">
        <f t="shared" si="22"/>
        <v>591.19861111111959</v>
      </c>
      <c r="E228" s="11">
        <f t="shared" si="23"/>
        <v>694.16666666666663</v>
      </c>
      <c r="F228" s="11">
        <f t="shared" si="24"/>
        <v>100654.16666666811</v>
      </c>
      <c r="H228" s="24">
        <f t="shared" si="19"/>
        <v>4.0493055555557476</v>
      </c>
      <c r="I228" s="28">
        <f t="shared" si="20"/>
        <v>1285.3652777777365</v>
      </c>
      <c r="J228" s="36"/>
    </row>
    <row r="229" spans="2:10" x14ac:dyDescent="0.35">
      <c r="B229" s="10">
        <v>216</v>
      </c>
      <c r="C229" s="11">
        <f t="shared" si="21"/>
        <v>1281.3159722222308</v>
      </c>
      <c r="D229" s="11">
        <f t="shared" si="22"/>
        <v>587.14930555556407</v>
      </c>
      <c r="E229" s="11">
        <f t="shared" si="23"/>
        <v>694.16666666666663</v>
      </c>
      <c r="F229" s="11">
        <f t="shared" si="24"/>
        <v>99960.000000001441</v>
      </c>
      <c r="H229" s="24">
        <f t="shared" si="19"/>
        <v>4.0493055555552928</v>
      </c>
      <c r="I229" s="28">
        <f t="shared" si="20"/>
        <v>1281.3159722222786</v>
      </c>
      <c r="J229" s="36"/>
    </row>
    <row r="230" spans="2:10" x14ac:dyDescent="0.35">
      <c r="B230" s="10">
        <v>217</v>
      </c>
      <c r="C230" s="11">
        <f t="shared" si="21"/>
        <v>1277.2666666666751</v>
      </c>
      <c r="D230" s="11">
        <f t="shared" si="22"/>
        <v>583.10000000000844</v>
      </c>
      <c r="E230" s="11">
        <f t="shared" si="23"/>
        <v>694.16666666666663</v>
      </c>
      <c r="F230" s="11">
        <f t="shared" si="24"/>
        <v>99265.833333334769</v>
      </c>
      <c r="H230" s="24">
        <f t="shared" si="19"/>
        <v>4.0493055555557476</v>
      </c>
      <c r="I230" s="28">
        <f t="shared" si="20"/>
        <v>1277.266666666625</v>
      </c>
      <c r="J230" s="36"/>
    </row>
    <row r="231" spans="2:10" x14ac:dyDescent="0.35">
      <c r="B231" s="10">
        <v>218</v>
      </c>
      <c r="C231" s="11">
        <f t="shared" si="21"/>
        <v>1273.2173611111193</v>
      </c>
      <c r="D231" s="11">
        <f t="shared" si="22"/>
        <v>579.0506944444528</v>
      </c>
      <c r="E231" s="11">
        <f t="shared" si="23"/>
        <v>694.16666666666663</v>
      </c>
      <c r="F231" s="11">
        <f t="shared" si="24"/>
        <v>98571.666666668098</v>
      </c>
      <c r="H231" s="24">
        <f t="shared" si="19"/>
        <v>4.0493055555557476</v>
      </c>
      <c r="I231" s="28">
        <f t="shared" si="20"/>
        <v>1273.2173611110693</v>
      </c>
      <c r="J231" s="36"/>
    </row>
    <row r="232" spans="2:10" x14ac:dyDescent="0.35">
      <c r="B232" s="10">
        <v>219</v>
      </c>
      <c r="C232" s="11">
        <f t="shared" si="21"/>
        <v>1269.168055555564</v>
      </c>
      <c r="D232" s="11">
        <f t="shared" si="22"/>
        <v>575.00138888889728</v>
      </c>
      <c r="E232" s="11">
        <f t="shared" si="23"/>
        <v>694.16666666666663</v>
      </c>
      <c r="F232" s="11">
        <f t="shared" si="24"/>
        <v>97877.500000001426</v>
      </c>
      <c r="H232" s="24">
        <f t="shared" si="19"/>
        <v>4.0493055555552928</v>
      </c>
      <c r="I232" s="28">
        <f t="shared" si="20"/>
        <v>1269.1680555556127</v>
      </c>
      <c r="J232" s="36"/>
    </row>
    <row r="233" spans="2:10" x14ac:dyDescent="0.35">
      <c r="B233" s="10">
        <v>220</v>
      </c>
      <c r="C233" s="11">
        <f t="shared" si="21"/>
        <v>1265.1187500000083</v>
      </c>
      <c r="D233" s="11">
        <f t="shared" si="22"/>
        <v>570.95208333334165</v>
      </c>
      <c r="E233" s="11">
        <f t="shared" si="23"/>
        <v>694.16666666666663</v>
      </c>
      <c r="F233" s="11">
        <f t="shared" si="24"/>
        <v>97183.333333334755</v>
      </c>
      <c r="H233" s="24">
        <f t="shared" si="19"/>
        <v>4.0493055555557476</v>
      </c>
      <c r="I233" s="28">
        <f t="shared" si="20"/>
        <v>1265.1187499999578</v>
      </c>
      <c r="J233" s="36"/>
    </row>
    <row r="234" spans="2:10" x14ac:dyDescent="0.35">
      <c r="B234" s="10">
        <v>221</v>
      </c>
      <c r="C234" s="11">
        <f t="shared" si="21"/>
        <v>1261.0694444444528</v>
      </c>
      <c r="D234" s="11">
        <f t="shared" si="22"/>
        <v>566.90277777778613</v>
      </c>
      <c r="E234" s="11">
        <f t="shared" si="23"/>
        <v>694.16666666666663</v>
      </c>
      <c r="F234" s="11">
        <f t="shared" si="24"/>
        <v>96489.166666668083</v>
      </c>
      <c r="H234" s="24">
        <f t="shared" si="19"/>
        <v>4.0493055555555202</v>
      </c>
      <c r="I234" s="28">
        <f t="shared" si="20"/>
        <v>1261.0694444444521</v>
      </c>
      <c r="J234" s="36"/>
    </row>
    <row r="235" spans="2:10" x14ac:dyDescent="0.35">
      <c r="B235" s="10">
        <v>222</v>
      </c>
      <c r="C235" s="11">
        <f t="shared" si="21"/>
        <v>1257.0201388888972</v>
      </c>
      <c r="D235" s="11">
        <f t="shared" si="22"/>
        <v>562.85347222223049</v>
      </c>
      <c r="E235" s="11">
        <f t="shared" si="23"/>
        <v>694.16666666666663</v>
      </c>
      <c r="F235" s="11">
        <f t="shared" si="24"/>
        <v>95795.000000001412</v>
      </c>
      <c r="H235" s="24">
        <f t="shared" si="19"/>
        <v>4.0493055555555202</v>
      </c>
      <c r="I235" s="28">
        <f t="shared" si="20"/>
        <v>1257.0201388888966</v>
      </c>
      <c r="J235" s="36"/>
    </row>
    <row r="236" spans="2:10" x14ac:dyDescent="0.35">
      <c r="B236" s="10">
        <v>223</v>
      </c>
      <c r="C236" s="11">
        <f t="shared" si="21"/>
        <v>1252.9708333333415</v>
      </c>
      <c r="D236" s="11">
        <f t="shared" si="22"/>
        <v>558.80416666667497</v>
      </c>
      <c r="E236" s="11">
        <f t="shared" si="23"/>
        <v>694.16666666666663</v>
      </c>
      <c r="F236" s="11">
        <f t="shared" si="24"/>
        <v>95100.83333333474</v>
      </c>
      <c r="H236" s="24">
        <f t="shared" ref="H236:H299" si="25">C235-C236</f>
        <v>4.0493055555557476</v>
      </c>
      <c r="I236" s="28">
        <f t="shared" ref="I236:I299" si="26">$I$14-((B236-1)*H236)</f>
        <v>1252.9708333332906</v>
      </c>
      <c r="J236" s="36"/>
    </row>
    <row r="237" spans="2:10" x14ac:dyDescent="0.35">
      <c r="B237" s="10">
        <v>224</v>
      </c>
      <c r="C237" s="11">
        <f t="shared" si="21"/>
        <v>1248.921527777786</v>
      </c>
      <c r="D237" s="11">
        <f t="shared" si="22"/>
        <v>554.75486111111934</v>
      </c>
      <c r="E237" s="11">
        <f t="shared" si="23"/>
        <v>694.16666666666663</v>
      </c>
      <c r="F237" s="11">
        <f t="shared" si="24"/>
        <v>94406.666666668069</v>
      </c>
      <c r="H237" s="24">
        <f t="shared" si="25"/>
        <v>4.0493055555555202</v>
      </c>
      <c r="I237" s="28">
        <f t="shared" si="26"/>
        <v>1248.9215277777855</v>
      </c>
      <c r="J237" s="36"/>
    </row>
    <row r="238" spans="2:10" x14ac:dyDescent="0.35">
      <c r="B238" s="10">
        <v>225</v>
      </c>
      <c r="C238" s="11">
        <f t="shared" si="21"/>
        <v>1244.8722222222304</v>
      </c>
      <c r="D238" s="11">
        <f t="shared" si="22"/>
        <v>550.70555555556371</v>
      </c>
      <c r="E238" s="11">
        <f t="shared" si="23"/>
        <v>694.16666666666663</v>
      </c>
      <c r="F238" s="11">
        <f t="shared" si="24"/>
        <v>93712.500000001397</v>
      </c>
      <c r="H238" s="24">
        <f t="shared" si="25"/>
        <v>4.0493055555555202</v>
      </c>
      <c r="I238" s="28">
        <f t="shared" si="26"/>
        <v>1244.87222222223</v>
      </c>
      <c r="J238" s="36"/>
    </row>
    <row r="239" spans="2:10" x14ac:dyDescent="0.35">
      <c r="B239" s="10">
        <v>226</v>
      </c>
      <c r="C239" s="11">
        <f t="shared" si="21"/>
        <v>1240.8229166666747</v>
      </c>
      <c r="D239" s="11">
        <f t="shared" si="22"/>
        <v>546.65625000000819</v>
      </c>
      <c r="E239" s="11">
        <f t="shared" si="23"/>
        <v>694.16666666666663</v>
      </c>
      <c r="F239" s="11">
        <f t="shared" si="24"/>
        <v>93018.333333334725</v>
      </c>
      <c r="H239" s="24">
        <f t="shared" si="25"/>
        <v>4.0493055555557476</v>
      </c>
      <c r="I239" s="28">
        <f t="shared" si="26"/>
        <v>1240.8229166666233</v>
      </c>
      <c r="J239" s="36"/>
    </row>
    <row r="240" spans="2:10" x14ac:dyDescent="0.35">
      <c r="B240" s="10">
        <v>227</v>
      </c>
      <c r="C240" s="11">
        <f t="shared" si="21"/>
        <v>1236.7736111111192</v>
      </c>
      <c r="D240" s="11">
        <f t="shared" si="22"/>
        <v>542.60694444445255</v>
      </c>
      <c r="E240" s="11">
        <f t="shared" si="23"/>
        <v>694.16666666666663</v>
      </c>
      <c r="F240" s="11">
        <f t="shared" si="24"/>
        <v>92324.166666668054</v>
      </c>
      <c r="H240" s="24">
        <f t="shared" si="25"/>
        <v>4.0493055555555202</v>
      </c>
      <c r="I240" s="28">
        <f t="shared" si="26"/>
        <v>1236.773611111119</v>
      </c>
      <c r="J240" s="36"/>
    </row>
    <row r="241" spans="2:10" x14ac:dyDescent="0.35">
      <c r="B241" s="10">
        <v>228</v>
      </c>
      <c r="C241" s="11">
        <f t="shared" si="21"/>
        <v>1232.7243055555637</v>
      </c>
      <c r="D241" s="11">
        <f t="shared" si="22"/>
        <v>538.55763888889703</v>
      </c>
      <c r="E241" s="11">
        <f t="shared" si="23"/>
        <v>694.16666666666663</v>
      </c>
      <c r="F241" s="11">
        <f t="shared" si="24"/>
        <v>91630.000000001382</v>
      </c>
      <c r="H241" s="24">
        <f t="shared" si="25"/>
        <v>4.0493055555555202</v>
      </c>
      <c r="I241" s="28">
        <f t="shared" si="26"/>
        <v>1232.7243055555634</v>
      </c>
      <c r="J241" s="36"/>
    </row>
    <row r="242" spans="2:10" x14ac:dyDescent="0.35">
      <c r="B242" s="10">
        <v>229</v>
      </c>
      <c r="C242" s="11">
        <f t="shared" si="21"/>
        <v>1228.6750000000079</v>
      </c>
      <c r="D242" s="11">
        <f t="shared" si="22"/>
        <v>534.5083333333414</v>
      </c>
      <c r="E242" s="11">
        <f t="shared" si="23"/>
        <v>694.16666666666663</v>
      </c>
      <c r="F242" s="11">
        <f t="shared" si="24"/>
        <v>90935.833333334711</v>
      </c>
      <c r="H242" s="24">
        <f t="shared" si="25"/>
        <v>4.0493055555557476</v>
      </c>
      <c r="I242" s="28">
        <f t="shared" si="26"/>
        <v>1228.6749999999561</v>
      </c>
      <c r="J242" s="36"/>
    </row>
    <row r="243" spans="2:10" x14ac:dyDescent="0.35">
      <c r="B243" s="10">
        <v>230</v>
      </c>
      <c r="C243" s="11">
        <f t="shared" si="21"/>
        <v>1224.6256944444526</v>
      </c>
      <c r="D243" s="11">
        <f t="shared" si="22"/>
        <v>530.45902777778588</v>
      </c>
      <c r="E243" s="11">
        <f t="shared" si="23"/>
        <v>694.16666666666663</v>
      </c>
      <c r="F243" s="11">
        <f t="shared" si="24"/>
        <v>90241.666666668039</v>
      </c>
      <c r="H243" s="24">
        <f t="shared" si="25"/>
        <v>4.0493055555552928</v>
      </c>
      <c r="I243" s="28">
        <f t="shared" si="26"/>
        <v>1224.6256944445045</v>
      </c>
      <c r="J243" s="36"/>
    </row>
    <row r="244" spans="2:10" x14ac:dyDescent="0.35">
      <c r="B244" s="10">
        <v>231</v>
      </c>
      <c r="C244" s="11">
        <f t="shared" si="21"/>
        <v>1220.5763888888969</v>
      </c>
      <c r="D244" s="11">
        <f t="shared" si="22"/>
        <v>526.40972222223024</v>
      </c>
      <c r="E244" s="11">
        <f t="shared" si="23"/>
        <v>694.16666666666663</v>
      </c>
      <c r="F244" s="11">
        <f t="shared" si="24"/>
        <v>89547.500000001368</v>
      </c>
      <c r="H244" s="24">
        <f t="shared" si="25"/>
        <v>4.0493055555557476</v>
      </c>
      <c r="I244" s="28">
        <f t="shared" si="26"/>
        <v>1220.5763888888446</v>
      </c>
      <c r="J244" s="36"/>
    </row>
    <row r="245" spans="2:10" x14ac:dyDescent="0.35">
      <c r="B245" s="10">
        <v>232</v>
      </c>
      <c r="C245" s="11">
        <f t="shared" si="21"/>
        <v>1216.5270833333414</v>
      </c>
      <c r="D245" s="11">
        <f t="shared" si="22"/>
        <v>522.36041666667472</v>
      </c>
      <c r="E245" s="11">
        <f t="shared" si="23"/>
        <v>694.16666666666663</v>
      </c>
      <c r="F245" s="11">
        <f t="shared" si="24"/>
        <v>88853.333333334696</v>
      </c>
      <c r="H245" s="24">
        <f t="shared" si="25"/>
        <v>4.0493055555555202</v>
      </c>
      <c r="I245" s="28">
        <f t="shared" si="26"/>
        <v>1216.5270833333414</v>
      </c>
      <c r="J245" s="36"/>
    </row>
    <row r="246" spans="2:10" x14ac:dyDescent="0.35">
      <c r="B246" s="10">
        <v>233</v>
      </c>
      <c r="C246" s="11">
        <f t="shared" si="21"/>
        <v>1212.4777777777858</v>
      </c>
      <c r="D246" s="11">
        <f t="shared" si="22"/>
        <v>518.31111111111909</v>
      </c>
      <c r="E246" s="11">
        <f t="shared" si="23"/>
        <v>694.16666666666663</v>
      </c>
      <c r="F246" s="11">
        <f t="shared" si="24"/>
        <v>88159.166666668025</v>
      </c>
      <c r="H246" s="24">
        <f t="shared" si="25"/>
        <v>4.0493055555555202</v>
      </c>
      <c r="I246" s="28">
        <f t="shared" si="26"/>
        <v>1212.4777777777858</v>
      </c>
      <c r="J246" s="36"/>
    </row>
    <row r="247" spans="2:10" x14ac:dyDescent="0.35">
      <c r="B247" s="10">
        <v>234</v>
      </c>
      <c r="C247" s="11">
        <f t="shared" si="21"/>
        <v>1208.4284722222301</v>
      </c>
      <c r="D247" s="11">
        <f t="shared" si="22"/>
        <v>514.26180555556346</v>
      </c>
      <c r="E247" s="11">
        <f t="shared" si="23"/>
        <v>694.16666666666663</v>
      </c>
      <c r="F247" s="11">
        <f t="shared" si="24"/>
        <v>87465.000000001353</v>
      </c>
      <c r="H247" s="24">
        <f t="shared" si="25"/>
        <v>4.0493055555557476</v>
      </c>
      <c r="I247" s="28">
        <f t="shared" si="26"/>
        <v>1208.4284722221773</v>
      </c>
      <c r="J247" s="36"/>
    </row>
    <row r="248" spans="2:10" x14ac:dyDescent="0.35">
      <c r="B248" s="10">
        <v>235</v>
      </c>
      <c r="C248" s="11">
        <f t="shared" si="21"/>
        <v>1204.3791666666746</v>
      </c>
      <c r="D248" s="11">
        <f t="shared" si="22"/>
        <v>510.21250000000794</v>
      </c>
      <c r="E248" s="11">
        <f t="shared" si="23"/>
        <v>694.16666666666663</v>
      </c>
      <c r="F248" s="11">
        <f t="shared" si="24"/>
        <v>86770.833333334682</v>
      </c>
      <c r="H248" s="24">
        <f t="shared" si="25"/>
        <v>4.0493055555555202</v>
      </c>
      <c r="I248" s="28">
        <f t="shared" si="26"/>
        <v>1204.3791666666748</v>
      </c>
      <c r="J248" s="36"/>
    </row>
    <row r="249" spans="2:10" x14ac:dyDescent="0.35">
      <c r="B249" s="10">
        <v>236</v>
      </c>
      <c r="C249" s="11">
        <f t="shared" si="21"/>
        <v>1200.329861111119</v>
      </c>
      <c r="D249" s="11">
        <f t="shared" si="22"/>
        <v>506.16319444445236</v>
      </c>
      <c r="E249" s="11">
        <f t="shared" si="23"/>
        <v>694.16666666666663</v>
      </c>
      <c r="F249" s="11">
        <f t="shared" si="24"/>
        <v>86076.66666666801</v>
      </c>
      <c r="H249" s="24">
        <f t="shared" si="25"/>
        <v>4.0493055555555202</v>
      </c>
      <c r="I249" s="28">
        <f t="shared" si="26"/>
        <v>1200.3298611111193</v>
      </c>
      <c r="J249" s="36"/>
    </row>
    <row r="250" spans="2:10" x14ac:dyDescent="0.35">
      <c r="B250" s="10">
        <v>237</v>
      </c>
      <c r="C250" s="11">
        <f t="shared" si="21"/>
        <v>1196.2805555555633</v>
      </c>
      <c r="D250" s="11">
        <f t="shared" si="22"/>
        <v>502.11388888889672</v>
      </c>
      <c r="E250" s="11">
        <f t="shared" si="23"/>
        <v>694.16666666666663</v>
      </c>
      <c r="F250" s="11">
        <f t="shared" si="24"/>
        <v>85382.500000001339</v>
      </c>
      <c r="H250" s="24">
        <f t="shared" si="25"/>
        <v>4.0493055555557476</v>
      </c>
      <c r="I250" s="28">
        <f t="shared" si="26"/>
        <v>1196.2805555555101</v>
      </c>
      <c r="J250" s="36"/>
    </row>
    <row r="251" spans="2:10" x14ac:dyDescent="0.35">
      <c r="B251" s="10">
        <v>238</v>
      </c>
      <c r="C251" s="11">
        <f t="shared" si="21"/>
        <v>1192.2312500000078</v>
      </c>
      <c r="D251" s="11">
        <f t="shared" si="22"/>
        <v>498.06458333334115</v>
      </c>
      <c r="E251" s="11">
        <f t="shared" si="23"/>
        <v>694.16666666666663</v>
      </c>
      <c r="F251" s="11">
        <f t="shared" si="24"/>
        <v>84688.333333334667</v>
      </c>
      <c r="H251" s="24">
        <f t="shared" si="25"/>
        <v>4.0493055555555202</v>
      </c>
      <c r="I251" s="28">
        <f t="shared" si="26"/>
        <v>1192.2312500000082</v>
      </c>
      <c r="J251" s="36"/>
    </row>
    <row r="252" spans="2:10" x14ac:dyDescent="0.35">
      <c r="B252" s="10">
        <v>239</v>
      </c>
      <c r="C252" s="11">
        <f t="shared" si="21"/>
        <v>1188.1819444444523</v>
      </c>
      <c r="D252" s="11">
        <f t="shared" si="22"/>
        <v>494.01527777778557</v>
      </c>
      <c r="E252" s="11">
        <f t="shared" si="23"/>
        <v>694.16666666666663</v>
      </c>
      <c r="F252" s="11">
        <f t="shared" si="24"/>
        <v>83994.166666667996</v>
      </c>
      <c r="H252" s="24">
        <f t="shared" si="25"/>
        <v>4.0493055555555202</v>
      </c>
      <c r="I252" s="28">
        <f t="shared" si="26"/>
        <v>1188.1819444444527</v>
      </c>
      <c r="J252" s="36"/>
    </row>
    <row r="253" spans="2:10" x14ac:dyDescent="0.35">
      <c r="B253" s="10">
        <v>240</v>
      </c>
      <c r="C253" s="11">
        <f t="shared" si="21"/>
        <v>1184.1326388888965</v>
      </c>
      <c r="D253" s="11">
        <f t="shared" si="22"/>
        <v>489.96597222222999</v>
      </c>
      <c r="E253" s="11">
        <f t="shared" si="23"/>
        <v>694.16666666666663</v>
      </c>
      <c r="F253" s="11">
        <f t="shared" si="24"/>
        <v>83300.000000001324</v>
      </c>
      <c r="H253" s="24">
        <f t="shared" si="25"/>
        <v>4.0493055555557476</v>
      </c>
      <c r="I253" s="28">
        <f t="shared" si="26"/>
        <v>1184.1326388888428</v>
      </c>
      <c r="J253" s="36"/>
    </row>
    <row r="254" spans="2:10" x14ac:dyDescent="0.35">
      <c r="B254" s="10">
        <v>241</v>
      </c>
      <c r="C254" s="11">
        <f t="shared" si="21"/>
        <v>1180.083333333341</v>
      </c>
      <c r="D254" s="11">
        <f t="shared" si="22"/>
        <v>485.91666666667442</v>
      </c>
      <c r="E254" s="11">
        <f t="shared" si="23"/>
        <v>694.16666666666663</v>
      </c>
      <c r="F254" s="11">
        <f t="shared" si="24"/>
        <v>82605.833333334653</v>
      </c>
      <c r="H254" s="24">
        <f t="shared" si="25"/>
        <v>4.0493055555555202</v>
      </c>
      <c r="I254" s="28">
        <f t="shared" si="26"/>
        <v>1180.0833333333417</v>
      </c>
      <c r="J254" s="36"/>
    </row>
    <row r="255" spans="2:10" x14ac:dyDescent="0.35">
      <c r="B255" s="10">
        <v>242</v>
      </c>
      <c r="C255" s="11">
        <f t="shared" si="21"/>
        <v>1176.0340277777855</v>
      </c>
      <c r="D255" s="11">
        <f t="shared" si="22"/>
        <v>481.86736111111884</v>
      </c>
      <c r="E255" s="11">
        <f t="shared" si="23"/>
        <v>694.16666666666663</v>
      </c>
      <c r="F255" s="11">
        <f t="shared" si="24"/>
        <v>81911.666666667981</v>
      </c>
      <c r="H255" s="24">
        <f t="shared" si="25"/>
        <v>4.0493055555555202</v>
      </c>
      <c r="I255" s="28">
        <f t="shared" si="26"/>
        <v>1176.0340277777862</v>
      </c>
      <c r="J255" s="36"/>
    </row>
    <row r="256" spans="2:10" x14ac:dyDescent="0.35">
      <c r="B256" s="10">
        <v>243</v>
      </c>
      <c r="C256" s="11">
        <f t="shared" si="21"/>
        <v>1171.9847222222299</v>
      </c>
      <c r="D256" s="11">
        <f t="shared" si="22"/>
        <v>477.81805555556326</v>
      </c>
      <c r="E256" s="11">
        <f t="shared" si="23"/>
        <v>694.16666666666663</v>
      </c>
      <c r="F256" s="11">
        <f t="shared" si="24"/>
        <v>81217.50000000131</v>
      </c>
      <c r="H256" s="24">
        <f t="shared" si="25"/>
        <v>4.0493055555555202</v>
      </c>
      <c r="I256" s="28">
        <f t="shared" si="26"/>
        <v>1171.9847222222306</v>
      </c>
      <c r="J256" s="36"/>
    </row>
    <row r="257" spans="2:10" x14ac:dyDescent="0.35">
      <c r="B257" s="10">
        <v>244</v>
      </c>
      <c r="C257" s="11">
        <f t="shared" si="21"/>
        <v>1167.9354166666744</v>
      </c>
      <c r="D257" s="11">
        <f t="shared" si="22"/>
        <v>473.76875000000769</v>
      </c>
      <c r="E257" s="11">
        <f t="shared" si="23"/>
        <v>694.16666666666663</v>
      </c>
      <c r="F257" s="11">
        <f t="shared" si="24"/>
        <v>80523.333333334638</v>
      </c>
      <c r="H257" s="24">
        <f t="shared" si="25"/>
        <v>4.0493055555555202</v>
      </c>
      <c r="I257" s="28">
        <f t="shared" si="26"/>
        <v>1167.9354166666751</v>
      </c>
      <c r="J257" s="36"/>
    </row>
    <row r="258" spans="2:10" x14ac:dyDescent="0.35">
      <c r="B258" s="10">
        <v>245</v>
      </c>
      <c r="C258" s="11">
        <f t="shared" si="21"/>
        <v>1163.8861111111187</v>
      </c>
      <c r="D258" s="11">
        <f t="shared" si="22"/>
        <v>469.71944444445205</v>
      </c>
      <c r="E258" s="11">
        <f t="shared" si="23"/>
        <v>694.16666666666663</v>
      </c>
      <c r="F258" s="11">
        <f t="shared" si="24"/>
        <v>79829.166666667967</v>
      </c>
      <c r="H258" s="24">
        <f t="shared" si="25"/>
        <v>4.0493055555557476</v>
      </c>
      <c r="I258" s="28">
        <f t="shared" si="26"/>
        <v>1163.8861111110641</v>
      </c>
      <c r="J258" s="36"/>
    </row>
    <row r="259" spans="2:10" x14ac:dyDescent="0.35">
      <c r="B259" s="10">
        <v>246</v>
      </c>
      <c r="C259" s="11">
        <f t="shared" si="21"/>
        <v>1159.8368055555632</v>
      </c>
      <c r="D259" s="11">
        <f t="shared" si="22"/>
        <v>465.67013888889647</v>
      </c>
      <c r="E259" s="11">
        <f t="shared" si="23"/>
        <v>694.16666666666663</v>
      </c>
      <c r="F259" s="11">
        <f t="shared" si="24"/>
        <v>79135.000000001295</v>
      </c>
      <c r="H259" s="24">
        <f t="shared" si="25"/>
        <v>4.0493055555555202</v>
      </c>
      <c r="I259" s="28">
        <f t="shared" si="26"/>
        <v>1159.8368055555641</v>
      </c>
      <c r="J259" s="36"/>
    </row>
    <row r="260" spans="2:10" x14ac:dyDescent="0.35">
      <c r="B260" s="10">
        <v>247</v>
      </c>
      <c r="C260" s="11">
        <f t="shared" si="21"/>
        <v>1155.7875000000076</v>
      </c>
      <c r="D260" s="11">
        <f t="shared" si="22"/>
        <v>461.6208333333409</v>
      </c>
      <c r="E260" s="11">
        <f t="shared" si="23"/>
        <v>694.16666666666663</v>
      </c>
      <c r="F260" s="11">
        <f t="shared" si="24"/>
        <v>78440.833333334624</v>
      </c>
      <c r="H260" s="24">
        <f t="shared" si="25"/>
        <v>4.0493055555555202</v>
      </c>
      <c r="I260" s="28">
        <f t="shared" si="26"/>
        <v>1155.7875000000085</v>
      </c>
      <c r="J260" s="36"/>
    </row>
    <row r="261" spans="2:10" x14ac:dyDescent="0.35">
      <c r="B261" s="10">
        <v>248</v>
      </c>
      <c r="C261" s="11">
        <f t="shared" si="21"/>
        <v>1151.7381944444519</v>
      </c>
      <c r="D261" s="11">
        <f t="shared" si="22"/>
        <v>457.57152777778532</v>
      </c>
      <c r="E261" s="11">
        <f t="shared" si="23"/>
        <v>694.16666666666663</v>
      </c>
      <c r="F261" s="11">
        <f t="shared" si="24"/>
        <v>77746.666666667952</v>
      </c>
      <c r="H261" s="24">
        <f t="shared" si="25"/>
        <v>4.0493055555557476</v>
      </c>
      <c r="I261" s="28">
        <f t="shared" si="26"/>
        <v>1151.7381944443969</v>
      </c>
      <c r="J261" s="36"/>
    </row>
    <row r="262" spans="2:10" x14ac:dyDescent="0.35">
      <c r="B262" s="10">
        <v>249</v>
      </c>
      <c r="C262" s="11">
        <f t="shared" si="21"/>
        <v>1147.6888888888964</v>
      </c>
      <c r="D262" s="11">
        <f t="shared" si="22"/>
        <v>453.52222222222974</v>
      </c>
      <c r="E262" s="11">
        <f t="shared" si="23"/>
        <v>694.16666666666663</v>
      </c>
      <c r="F262" s="11">
        <f t="shared" si="24"/>
        <v>77052.500000001281</v>
      </c>
      <c r="H262" s="24">
        <f t="shared" si="25"/>
        <v>4.0493055555555202</v>
      </c>
      <c r="I262" s="28">
        <f t="shared" si="26"/>
        <v>1147.6888888888975</v>
      </c>
      <c r="J262" s="36"/>
    </row>
    <row r="263" spans="2:10" x14ac:dyDescent="0.35">
      <c r="B263" s="10">
        <v>250</v>
      </c>
      <c r="C263" s="11">
        <f t="shared" si="21"/>
        <v>1143.6395833333409</v>
      </c>
      <c r="D263" s="11">
        <f t="shared" si="22"/>
        <v>449.47291666667417</v>
      </c>
      <c r="E263" s="11">
        <f t="shared" si="23"/>
        <v>694.16666666666663</v>
      </c>
      <c r="F263" s="11">
        <f t="shared" si="24"/>
        <v>76358.333333334609</v>
      </c>
      <c r="H263" s="24">
        <f t="shared" si="25"/>
        <v>4.0493055555555202</v>
      </c>
      <c r="I263" s="28">
        <f t="shared" si="26"/>
        <v>1143.639583333342</v>
      </c>
      <c r="J263" s="36"/>
    </row>
    <row r="264" spans="2:10" x14ac:dyDescent="0.35">
      <c r="B264" s="10">
        <v>251</v>
      </c>
      <c r="C264" s="11">
        <f t="shared" si="21"/>
        <v>1139.5902777777851</v>
      </c>
      <c r="D264" s="11">
        <f t="shared" si="22"/>
        <v>445.42361111111859</v>
      </c>
      <c r="E264" s="11">
        <f t="shared" si="23"/>
        <v>694.16666666666663</v>
      </c>
      <c r="F264" s="11">
        <f t="shared" si="24"/>
        <v>75664.166666667938</v>
      </c>
      <c r="H264" s="24">
        <f t="shared" si="25"/>
        <v>4.0493055555557476</v>
      </c>
      <c r="I264" s="28">
        <f t="shared" si="26"/>
        <v>1139.5902777777296</v>
      </c>
      <c r="J264" s="36"/>
    </row>
    <row r="265" spans="2:10" x14ac:dyDescent="0.35">
      <c r="B265" s="10">
        <v>252</v>
      </c>
      <c r="C265" s="11">
        <f t="shared" si="21"/>
        <v>1135.5409722222296</v>
      </c>
      <c r="D265" s="11">
        <f t="shared" si="22"/>
        <v>441.37430555556301</v>
      </c>
      <c r="E265" s="11">
        <f t="shared" si="23"/>
        <v>694.16666666666663</v>
      </c>
      <c r="F265" s="11">
        <f t="shared" si="24"/>
        <v>74970.000000001266</v>
      </c>
      <c r="H265" s="24">
        <f t="shared" si="25"/>
        <v>4.0493055555555202</v>
      </c>
      <c r="I265" s="28">
        <f t="shared" si="26"/>
        <v>1135.5409722222309</v>
      </c>
      <c r="J265" s="36"/>
    </row>
    <row r="266" spans="2:10" x14ac:dyDescent="0.35">
      <c r="B266" s="10">
        <v>253</v>
      </c>
      <c r="C266" s="11">
        <f t="shared" si="21"/>
        <v>1131.4916666666741</v>
      </c>
      <c r="D266" s="11">
        <f t="shared" si="22"/>
        <v>437.32500000000738</v>
      </c>
      <c r="E266" s="11">
        <f t="shared" si="23"/>
        <v>694.16666666666663</v>
      </c>
      <c r="F266" s="11">
        <f t="shared" si="24"/>
        <v>74275.833333334594</v>
      </c>
      <c r="H266" s="24">
        <f t="shared" si="25"/>
        <v>4.0493055555555202</v>
      </c>
      <c r="I266" s="28">
        <f t="shared" si="26"/>
        <v>1131.4916666666754</v>
      </c>
      <c r="J266" s="36"/>
    </row>
    <row r="267" spans="2:10" x14ac:dyDescent="0.35">
      <c r="B267" s="10">
        <v>254</v>
      </c>
      <c r="C267" s="11">
        <f t="shared" si="21"/>
        <v>1127.4423611111183</v>
      </c>
      <c r="D267" s="11">
        <f t="shared" si="22"/>
        <v>433.2756944444518</v>
      </c>
      <c r="E267" s="11">
        <f t="shared" si="23"/>
        <v>694.16666666666663</v>
      </c>
      <c r="F267" s="11">
        <f t="shared" si="24"/>
        <v>73581.666666667923</v>
      </c>
      <c r="H267" s="24">
        <f t="shared" si="25"/>
        <v>4.0493055555557476</v>
      </c>
      <c r="I267" s="28">
        <f t="shared" si="26"/>
        <v>1127.4423611110624</v>
      </c>
      <c r="J267" s="36"/>
    </row>
    <row r="268" spans="2:10" x14ac:dyDescent="0.35">
      <c r="B268" s="10">
        <v>255</v>
      </c>
      <c r="C268" s="11">
        <f t="shared" si="21"/>
        <v>1123.3930555555628</v>
      </c>
      <c r="D268" s="11">
        <f t="shared" si="22"/>
        <v>429.22638888889622</v>
      </c>
      <c r="E268" s="11">
        <f t="shared" si="23"/>
        <v>694.16666666666663</v>
      </c>
      <c r="F268" s="11">
        <f t="shared" si="24"/>
        <v>72887.500000001251</v>
      </c>
      <c r="H268" s="24">
        <f t="shared" si="25"/>
        <v>4.0493055555555202</v>
      </c>
      <c r="I268" s="28">
        <f t="shared" si="26"/>
        <v>1123.3930555555644</v>
      </c>
      <c r="J268" s="36"/>
    </row>
    <row r="269" spans="2:10" x14ac:dyDescent="0.35">
      <c r="B269" s="10">
        <v>256</v>
      </c>
      <c r="C269" s="11">
        <f t="shared" si="21"/>
        <v>1119.3437500000073</v>
      </c>
      <c r="D269" s="11">
        <f t="shared" si="22"/>
        <v>425.17708333334065</v>
      </c>
      <c r="E269" s="11">
        <f t="shared" si="23"/>
        <v>694.16666666666663</v>
      </c>
      <c r="F269" s="11">
        <f t="shared" si="24"/>
        <v>72193.33333333458</v>
      </c>
      <c r="H269" s="24">
        <f t="shared" si="25"/>
        <v>4.0493055555555202</v>
      </c>
      <c r="I269" s="28">
        <f t="shared" si="26"/>
        <v>1119.3437500000089</v>
      </c>
      <c r="J269" s="36"/>
    </row>
    <row r="270" spans="2:10" x14ac:dyDescent="0.35">
      <c r="B270" s="10">
        <v>257</v>
      </c>
      <c r="C270" s="11">
        <f t="shared" si="21"/>
        <v>1115.2944444444518</v>
      </c>
      <c r="D270" s="11">
        <f t="shared" si="22"/>
        <v>421.12777777778507</v>
      </c>
      <c r="E270" s="11">
        <f t="shared" si="23"/>
        <v>694.16666666666663</v>
      </c>
      <c r="F270" s="11">
        <f t="shared" si="24"/>
        <v>71499.166666667908</v>
      </c>
      <c r="H270" s="24">
        <f t="shared" si="25"/>
        <v>4.0493055555555202</v>
      </c>
      <c r="I270" s="28">
        <f t="shared" si="26"/>
        <v>1115.2944444444533</v>
      </c>
      <c r="J270" s="36"/>
    </row>
    <row r="271" spans="2:10" x14ac:dyDescent="0.35">
      <c r="B271" s="10">
        <v>258</v>
      </c>
      <c r="C271" s="11">
        <f t="shared" ref="C271:C334" si="27">D271+E271</f>
        <v>1111.2451388888962</v>
      </c>
      <c r="D271" s="11">
        <f t="shared" ref="D271:D334" si="28">F270*$C$5</f>
        <v>417.07847222222949</v>
      </c>
      <c r="E271" s="11">
        <f t="shared" ref="E271:E334" si="29">$C$10</f>
        <v>694.16666666666663</v>
      </c>
      <c r="F271" s="11">
        <f t="shared" ref="F271:F334" si="30">F270-E271</f>
        <v>70805.000000001237</v>
      </c>
      <c r="H271" s="24">
        <f t="shared" si="25"/>
        <v>4.0493055555555202</v>
      </c>
      <c r="I271" s="28">
        <f t="shared" si="26"/>
        <v>1111.2451388888978</v>
      </c>
      <c r="J271" s="36"/>
    </row>
    <row r="272" spans="2:10" x14ac:dyDescent="0.35">
      <c r="B272" s="10">
        <v>259</v>
      </c>
      <c r="C272" s="11">
        <f t="shared" si="27"/>
        <v>1107.1958333333405</v>
      </c>
      <c r="D272" s="11">
        <f t="shared" si="28"/>
        <v>413.02916666667392</v>
      </c>
      <c r="E272" s="11">
        <f t="shared" si="29"/>
        <v>694.16666666666663</v>
      </c>
      <c r="F272" s="11">
        <f t="shared" si="30"/>
        <v>70110.833333334565</v>
      </c>
      <c r="H272" s="24">
        <f t="shared" si="25"/>
        <v>4.0493055555557476</v>
      </c>
      <c r="I272" s="28">
        <f t="shared" si="26"/>
        <v>1107.1958333332836</v>
      </c>
      <c r="J272" s="36"/>
    </row>
    <row r="273" spans="2:10" x14ac:dyDescent="0.35">
      <c r="B273" s="10">
        <v>260</v>
      </c>
      <c r="C273" s="11">
        <f t="shared" si="27"/>
        <v>1103.146527777785</v>
      </c>
      <c r="D273" s="11">
        <f t="shared" si="28"/>
        <v>408.97986111111834</v>
      </c>
      <c r="E273" s="11">
        <f t="shared" si="29"/>
        <v>694.16666666666663</v>
      </c>
      <c r="F273" s="11">
        <f t="shared" si="30"/>
        <v>69416.666666667894</v>
      </c>
      <c r="H273" s="24">
        <f t="shared" si="25"/>
        <v>4.0493055555555202</v>
      </c>
      <c r="I273" s="28">
        <f t="shared" si="26"/>
        <v>1103.1465277777868</v>
      </c>
      <c r="J273" s="36"/>
    </row>
    <row r="274" spans="2:10" x14ac:dyDescent="0.35">
      <c r="B274" s="10">
        <v>261</v>
      </c>
      <c r="C274" s="11">
        <f t="shared" si="27"/>
        <v>1099.0972222222294</v>
      </c>
      <c r="D274" s="11">
        <f t="shared" si="28"/>
        <v>404.93055555556271</v>
      </c>
      <c r="E274" s="11">
        <f t="shared" si="29"/>
        <v>694.16666666666663</v>
      </c>
      <c r="F274" s="11">
        <f t="shared" si="30"/>
        <v>68722.500000001222</v>
      </c>
      <c r="H274" s="24">
        <f t="shared" si="25"/>
        <v>4.0493055555555202</v>
      </c>
      <c r="I274" s="28">
        <f t="shared" si="26"/>
        <v>1099.0972222222313</v>
      </c>
      <c r="J274" s="36"/>
    </row>
    <row r="275" spans="2:10" x14ac:dyDescent="0.35">
      <c r="B275" s="10">
        <v>262</v>
      </c>
      <c r="C275" s="11">
        <f t="shared" si="27"/>
        <v>1095.0479166666737</v>
      </c>
      <c r="D275" s="11">
        <f t="shared" si="28"/>
        <v>400.88125000000713</v>
      </c>
      <c r="E275" s="11">
        <f t="shared" si="29"/>
        <v>694.16666666666663</v>
      </c>
      <c r="F275" s="11">
        <f t="shared" si="30"/>
        <v>68028.333333334551</v>
      </c>
      <c r="H275" s="24">
        <f t="shared" si="25"/>
        <v>4.0493055555557476</v>
      </c>
      <c r="I275" s="28">
        <f t="shared" si="26"/>
        <v>1095.0479166666164</v>
      </c>
      <c r="J275" s="36"/>
    </row>
    <row r="276" spans="2:10" x14ac:dyDescent="0.35">
      <c r="B276" s="10">
        <v>263</v>
      </c>
      <c r="C276" s="11">
        <f t="shared" si="27"/>
        <v>1090.9986111111182</v>
      </c>
      <c r="D276" s="11">
        <f t="shared" si="28"/>
        <v>396.83194444445155</v>
      </c>
      <c r="E276" s="11">
        <f t="shared" si="29"/>
        <v>694.16666666666663</v>
      </c>
      <c r="F276" s="11">
        <f t="shared" si="30"/>
        <v>67334.166666667879</v>
      </c>
      <c r="H276" s="24">
        <f t="shared" si="25"/>
        <v>4.0493055555555202</v>
      </c>
      <c r="I276" s="28">
        <f t="shared" si="26"/>
        <v>1090.9986111111202</v>
      </c>
      <c r="J276" s="36"/>
    </row>
    <row r="277" spans="2:10" x14ac:dyDescent="0.35">
      <c r="B277" s="10">
        <v>264</v>
      </c>
      <c r="C277" s="11">
        <f t="shared" si="27"/>
        <v>1086.9493055555627</v>
      </c>
      <c r="D277" s="11">
        <f t="shared" si="28"/>
        <v>392.78263888889597</v>
      </c>
      <c r="E277" s="11">
        <f t="shared" si="29"/>
        <v>694.16666666666663</v>
      </c>
      <c r="F277" s="11">
        <f t="shared" si="30"/>
        <v>66640.000000001208</v>
      </c>
      <c r="H277" s="24">
        <f t="shared" si="25"/>
        <v>4.0493055555555202</v>
      </c>
      <c r="I277" s="28">
        <f t="shared" si="26"/>
        <v>1086.9493055555647</v>
      </c>
      <c r="J277" s="36"/>
    </row>
    <row r="278" spans="2:10" x14ac:dyDescent="0.35">
      <c r="B278" s="10">
        <v>265</v>
      </c>
      <c r="C278" s="11">
        <f t="shared" si="27"/>
        <v>1082.9000000000069</v>
      </c>
      <c r="D278" s="11">
        <f t="shared" si="28"/>
        <v>388.7333333333404</v>
      </c>
      <c r="E278" s="11">
        <f t="shared" si="29"/>
        <v>694.16666666666663</v>
      </c>
      <c r="F278" s="11">
        <f t="shared" si="30"/>
        <v>65945.833333334536</v>
      </c>
      <c r="H278" s="24">
        <f t="shared" si="25"/>
        <v>4.0493055555557476</v>
      </c>
      <c r="I278" s="28">
        <f t="shared" si="26"/>
        <v>1082.8999999999492</v>
      </c>
      <c r="J278" s="36"/>
    </row>
    <row r="279" spans="2:10" x14ac:dyDescent="0.35">
      <c r="B279" s="10">
        <v>266</v>
      </c>
      <c r="C279" s="11">
        <f t="shared" si="27"/>
        <v>1078.8506944444514</v>
      </c>
      <c r="D279" s="11">
        <f t="shared" si="28"/>
        <v>384.68402777778482</v>
      </c>
      <c r="E279" s="11">
        <f t="shared" si="29"/>
        <v>694.16666666666663</v>
      </c>
      <c r="F279" s="11">
        <f t="shared" si="30"/>
        <v>65251.666666667872</v>
      </c>
      <c r="H279" s="24">
        <f t="shared" si="25"/>
        <v>4.0493055555555202</v>
      </c>
      <c r="I279" s="28">
        <f t="shared" si="26"/>
        <v>1078.8506944444537</v>
      </c>
      <c r="J279" s="36"/>
    </row>
    <row r="280" spans="2:10" x14ac:dyDescent="0.35">
      <c r="B280" s="10">
        <v>267</v>
      </c>
      <c r="C280" s="11">
        <f t="shared" si="27"/>
        <v>1074.8013888888959</v>
      </c>
      <c r="D280" s="11">
        <f t="shared" si="28"/>
        <v>380.63472222222924</v>
      </c>
      <c r="E280" s="11">
        <f t="shared" si="29"/>
        <v>694.16666666666663</v>
      </c>
      <c r="F280" s="11">
        <f t="shared" si="30"/>
        <v>64557.500000001208</v>
      </c>
      <c r="H280" s="24">
        <f t="shared" si="25"/>
        <v>4.0493055555555202</v>
      </c>
      <c r="I280" s="28">
        <f t="shared" si="26"/>
        <v>1074.8013888888981</v>
      </c>
      <c r="J280" s="36"/>
    </row>
    <row r="281" spans="2:10" x14ac:dyDescent="0.35">
      <c r="B281" s="10">
        <v>268</v>
      </c>
      <c r="C281" s="11">
        <f t="shared" si="27"/>
        <v>1070.7520833333404</v>
      </c>
      <c r="D281" s="11">
        <f t="shared" si="28"/>
        <v>376.58541666667372</v>
      </c>
      <c r="E281" s="11">
        <f t="shared" si="29"/>
        <v>694.16666666666663</v>
      </c>
      <c r="F281" s="11">
        <f t="shared" si="30"/>
        <v>63863.333333334544</v>
      </c>
      <c r="H281" s="24">
        <f t="shared" si="25"/>
        <v>4.0493055555555202</v>
      </c>
      <c r="I281" s="28">
        <f t="shared" si="26"/>
        <v>1070.7520833333426</v>
      </c>
      <c r="J281" s="36"/>
    </row>
    <row r="282" spans="2:10" x14ac:dyDescent="0.35">
      <c r="B282" s="10">
        <v>269</v>
      </c>
      <c r="C282" s="11">
        <f t="shared" si="27"/>
        <v>1066.7027777777848</v>
      </c>
      <c r="D282" s="11">
        <f t="shared" si="28"/>
        <v>372.5361111111182</v>
      </c>
      <c r="E282" s="11">
        <f t="shared" si="29"/>
        <v>694.16666666666663</v>
      </c>
      <c r="F282" s="11">
        <f t="shared" si="30"/>
        <v>63169.166666667879</v>
      </c>
      <c r="H282" s="24">
        <f t="shared" si="25"/>
        <v>4.0493055555555202</v>
      </c>
      <c r="I282" s="28">
        <f t="shared" si="26"/>
        <v>1066.7027777777871</v>
      </c>
      <c r="J282" s="36"/>
    </row>
    <row r="283" spans="2:10" x14ac:dyDescent="0.35">
      <c r="B283" s="10">
        <v>270</v>
      </c>
      <c r="C283" s="11">
        <f t="shared" si="27"/>
        <v>1062.6534722222293</v>
      </c>
      <c r="D283" s="11">
        <f t="shared" si="28"/>
        <v>368.48680555556263</v>
      </c>
      <c r="E283" s="11">
        <f t="shared" si="29"/>
        <v>694.16666666666663</v>
      </c>
      <c r="F283" s="11">
        <f t="shared" si="30"/>
        <v>62475.000000001215</v>
      </c>
      <c r="H283" s="24">
        <f t="shared" si="25"/>
        <v>4.0493055555555202</v>
      </c>
      <c r="I283" s="28">
        <f t="shared" si="26"/>
        <v>1062.6534722222316</v>
      </c>
      <c r="J283" s="36"/>
    </row>
    <row r="284" spans="2:10" x14ac:dyDescent="0.35">
      <c r="B284" s="10">
        <v>271</v>
      </c>
      <c r="C284" s="11">
        <f t="shared" si="27"/>
        <v>1058.6041666666738</v>
      </c>
      <c r="D284" s="11">
        <f t="shared" si="28"/>
        <v>364.43750000000711</v>
      </c>
      <c r="E284" s="11">
        <f t="shared" si="29"/>
        <v>694.16666666666663</v>
      </c>
      <c r="F284" s="11">
        <f t="shared" si="30"/>
        <v>61780.833333334551</v>
      </c>
      <c r="H284" s="24">
        <f t="shared" si="25"/>
        <v>4.0493055555555202</v>
      </c>
      <c r="I284" s="28">
        <f t="shared" si="26"/>
        <v>1058.6041666666761</v>
      </c>
      <c r="J284" s="36"/>
    </row>
    <row r="285" spans="2:10" x14ac:dyDescent="0.35">
      <c r="B285" s="10">
        <v>272</v>
      </c>
      <c r="C285" s="11">
        <f t="shared" si="27"/>
        <v>1054.5548611111183</v>
      </c>
      <c r="D285" s="11">
        <f t="shared" si="28"/>
        <v>360.38819444445159</v>
      </c>
      <c r="E285" s="11">
        <f t="shared" si="29"/>
        <v>694.16666666666663</v>
      </c>
      <c r="F285" s="11">
        <f t="shared" si="30"/>
        <v>61086.666666667887</v>
      </c>
      <c r="H285" s="24">
        <f t="shared" si="25"/>
        <v>4.0493055555555202</v>
      </c>
      <c r="I285" s="28">
        <f t="shared" si="26"/>
        <v>1054.5548611111205</v>
      </c>
      <c r="J285" s="36"/>
    </row>
    <row r="286" spans="2:10" x14ac:dyDescent="0.35">
      <c r="B286" s="10">
        <v>273</v>
      </c>
      <c r="C286" s="11">
        <f t="shared" si="27"/>
        <v>1050.5055555555628</v>
      </c>
      <c r="D286" s="11">
        <f t="shared" si="28"/>
        <v>356.33888888889601</v>
      </c>
      <c r="E286" s="11">
        <f t="shared" si="29"/>
        <v>694.16666666666663</v>
      </c>
      <c r="F286" s="11">
        <f t="shared" si="30"/>
        <v>60392.500000001222</v>
      </c>
      <c r="H286" s="24">
        <f t="shared" si="25"/>
        <v>4.0493055555555202</v>
      </c>
      <c r="I286" s="28">
        <f t="shared" si="26"/>
        <v>1050.505555555565</v>
      </c>
      <c r="J286" s="36"/>
    </row>
    <row r="287" spans="2:10" x14ac:dyDescent="0.35">
      <c r="B287" s="10">
        <v>274</v>
      </c>
      <c r="C287" s="11">
        <f t="shared" si="27"/>
        <v>1046.456250000007</v>
      </c>
      <c r="D287" s="11">
        <f t="shared" si="28"/>
        <v>352.28958333334049</v>
      </c>
      <c r="E287" s="11">
        <f t="shared" si="29"/>
        <v>694.16666666666663</v>
      </c>
      <c r="F287" s="11">
        <f t="shared" si="30"/>
        <v>59698.333333334558</v>
      </c>
      <c r="H287" s="24">
        <f t="shared" si="25"/>
        <v>4.0493055555557476</v>
      </c>
      <c r="I287" s="28">
        <f t="shared" si="26"/>
        <v>1046.4562499999474</v>
      </c>
      <c r="J287" s="36"/>
    </row>
    <row r="288" spans="2:10" x14ac:dyDescent="0.35">
      <c r="B288" s="10">
        <v>275</v>
      </c>
      <c r="C288" s="11">
        <f t="shared" si="27"/>
        <v>1042.4069444444515</v>
      </c>
      <c r="D288" s="11">
        <f t="shared" si="28"/>
        <v>348.24027777778491</v>
      </c>
      <c r="E288" s="11">
        <f t="shared" si="29"/>
        <v>694.16666666666663</v>
      </c>
      <c r="F288" s="11">
        <f t="shared" si="30"/>
        <v>59004.166666667894</v>
      </c>
      <c r="H288" s="24">
        <f t="shared" si="25"/>
        <v>4.0493055555555202</v>
      </c>
      <c r="I288" s="28">
        <f t="shared" si="26"/>
        <v>1042.406944444454</v>
      </c>
      <c r="J288" s="36"/>
    </row>
    <row r="289" spans="2:10" x14ac:dyDescent="0.35">
      <c r="B289" s="10">
        <v>276</v>
      </c>
      <c r="C289" s="11">
        <f t="shared" si="27"/>
        <v>1038.357638888896</v>
      </c>
      <c r="D289" s="11">
        <f t="shared" si="28"/>
        <v>344.19097222222939</v>
      </c>
      <c r="E289" s="11">
        <f t="shared" si="29"/>
        <v>694.16666666666663</v>
      </c>
      <c r="F289" s="11">
        <f t="shared" si="30"/>
        <v>58310.00000000123</v>
      </c>
      <c r="H289" s="24">
        <f t="shared" si="25"/>
        <v>4.0493055555555202</v>
      </c>
      <c r="I289" s="28">
        <f t="shared" si="26"/>
        <v>1038.3576388888985</v>
      </c>
      <c r="J289" s="36"/>
    </row>
    <row r="290" spans="2:10" x14ac:dyDescent="0.35">
      <c r="B290" s="10">
        <v>277</v>
      </c>
      <c r="C290" s="11">
        <f t="shared" si="27"/>
        <v>1034.3083333333404</v>
      </c>
      <c r="D290" s="11">
        <f t="shared" si="28"/>
        <v>340.14166666667387</v>
      </c>
      <c r="E290" s="11">
        <f t="shared" si="29"/>
        <v>694.16666666666663</v>
      </c>
      <c r="F290" s="11">
        <f t="shared" si="30"/>
        <v>57615.833333334565</v>
      </c>
      <c r="H290" s="24">
        <f t="shared" si="25"/>
        <v>4.0493055555555202</v>
      </c>
      <c r="I290" s="28">
        <f t="shared" si="26"/>
        <v>1034.3083333333429</v>
      </c>
      <c r="J290" s="36"/>
    </row>
    <row r="291" spans="2:10" x14ac:dyDescent="0.35">
      <c r="B291" s="10">
        <v>278</v>
      </c>
      <c r="C291" s="11">
        <f t="shared" si="27"/>
        <v>1030.2590277777849</v>
      </c>
      <c r="D291" s="11">
        <f t="shared" si="28"/>
        <v>336.09236111111829</v>
      </c>
      <c r="E291" s="11">
        <f t="shared" si="29"/>
        <v>694.16666666666663</v>
      </c>
      <c r="F291" s="11">
        <f t="shared" si="30"/>
        <v>56921.666666667901</v>
      </c>
      <c r="H291" s="24">
        <f t="shared" si="25"/>
        <v>4.0493055555555202</v>
      </c>
      <c r="I291" s="28">
        <f t="shared" si="26"/>
        <v>1030.2590277777874</v>
      </c>
      <c r="J291" s="36"/>
    </row>
    <row r="292" spans="2:10" x14ac:dyDescent="0.35">
      <c r="B292" s="10">
        <v>279</v>
      </c>
      <c r="C292" s="11">
        <f t="shared" si="27"/>
        <v>1026.2097222222294</v>
      </c>
      <c r="D292" s="11">
        <f t="shared" si="28"/>
        <v>332.04305555556277</v>
      </c>
      <c r="E292" s="11">
        <f t="shared" si="29"/>
        <v>694.16666666666663</v>
      </c>
      <c r="F292" s="11">
        <f t="shared" si="30"/>
        <v>56227.500000001237</v>
      </c>
      <c r="H292" s="24">
        <f t="shared" si="25"/>
        <v>4.0493055555555202</v>
      </c>
      <c r="I292" s="28">
        <f t="shared" si="26"/>
        <v>1026.2097222222319</v>
      </c>
      <c r="J292" s="36"/>
    </row>
    <row r="293" spans="2:10" x14ac:dyDescent="0.35">
      <c r="B293" s="10">
        <v>280</v>
      </c>
      <c r="C293" s="11">
        <f t="shared" si="27"/>
        <v>1022.1604166666739</v>
      </c>
      <c r="D293" s="11">
        <f t="shared" si="28"/>
        <v>327.99375000000725</v>
      </c>
      <c r="E293" s="11">
        <f t="shared" si="29"/>
        <v>694.16666666666663</v>
      </c>
      <c r="F293" s="11">
        <f t="shared" si="30"/>
        <v>55533.333333334573</v>
      </c>
      <c r="H293" s="24">
        <f t="shared" si="25"/>
        <v>4.0493055555555202</v>
      </c>
      <c r="I293" s="28">
        <f t="shared" si="26"/>
        <v>1022.1604166666764</v>
      </c>
      <c r="J293" s="36"/>
    </row>
    <row r="294" spans="2:10" x14ac:dyDescent="0.35">
      <c r="B294" s="10">
        <v>281</v>
      </c>
      <c r="C294" s="11">
        <f t="shared" si="27"/>
        <v>1018.1111111111184</v>
      </c>
      <c r="D294" s="11">
        <f t="shared" si="28"/>
        <v>323.94444444445168</v>
      </c>
      <c r="E294" s="11">
        <f t="shared" si="29"/>
        <v>694.16666666666663</v>
      </c>
      <c r="F294" s="11">
        <f t="shared" si="30"/>
        <v>54839.166666667908</v>
      </c>
      <c r="H294" s="24">
        <f t="shared" si="25"/>
        <v>4.0493055555555202</v>
      </c>
      <c r="I294" s="28">
        <f t="shared" si="26"/>
        <v>1018.1111111111209</v>
      </c>
      <c r="J294" s="36"/>
    </row>
    <row r="295" spans="2:10" x14ac:dyDescent="0.35">
      <c r="B295" s="10">
        <v>282</v>
      </c>
      <c r="C295" s="11">
        <f t="shared" si="27"/>
        <v>1014.0618055555628</v>
      </c>
      <c r="D295" s="11">
        <f t="shared" si="28"/>
        <v>319.89513888889616</v>
      </c>
      <c r="E295" s="11">
        <f t="shared" si="29"/>
        <v>694.16666666666663</v>
      </c>
      <c r="F295" s="11">
        <f t="shared" si="30"/>
        <v>54145.000000001244</v>
      </c>
      <c r="H295" s="24">
        <f t="shared" si="25"/>
        <v>4.0493055555555202</v>
      </c>
      <c r="I295" s="28">
        <f t="shared" si="26"/>
        <v>1014.0618055555653</v>
      </c>
      <c r="J295" s="36"/>
    </row>
    <row r="296" spans="2:10" x14ac:dyDescent="0.35">
      <c r="B296" s="10">
        <v>283</v>
      </c>
      <c r="C296" s="11">
        <f t="shared" si="27"/>
        <v>1010.0125000000072</v>
      </c>
      <c r="D296" s="11">
        <f t="shared" si="28"/>
        <v>315.84583333334058</v>
      </c>
      <c r="E296" s="11">
        <f t="shared" si="29"/>
        <v>694.16666666666663</v>
      </c>
      <c r="F296" s="11">
        <f t="shared" si="30"/>
        <v>53450.83333333458</v>
      </c>
      <c r="H296" s="24">
        <f t="shared" si="25"/>
        <v>4.0493055555556339</v>
      </c>
      <c r="I296" s="28">
        <f t="shared" si="26"/>
        <v>1010.0124999999778</v>
      </c>
      <c r="J296" s="36"/>
    </row>
    <row r="297" spans="2:10" x14ac:dyDescent="0.35">
      <c r="B297" s="10">
        <v>284</v>
      </c>
      <c r="C297" s="11">
        <f t="shared" si="27"/>
        <v>1005.9631944444517</v>
      </c>
      <c r="D297" s="11">
        <f t="shared" si="28"/>
        <v>311.79652777778506</v>
      </c>
      <c r="E297" s="11">
        <f t="shared" si="29"/>
        <v>694.16666666666663</v>
      </c>
      <c r="F297" s="11">
        <f t="shared" si="30"/>
        <v>52756.666666667916</v>
      </c>
      <c r="H297" s="24">
        <f t="shared" si="25"/>
        <v>4.0493055555555202</v>
      </c>
      <c r="I297" s="28">
        <f t="shared" si="26"/>
        <v>1005.9631944444543</v>
      </c>
      <c r="J297" s="36"/>
    </row>
    <row r="298" spans="2:10" x14ac:dyDescent="0.35">
      <c r="B298" s="10">
        <v>285</v>
      </c>
      <c r="C298" s="11">
        <f t="shared" si="27"/>
        <v>1001.9138888888962</v>
      </c>
      <c r="D298" s="11">
        <f t="shared" si="28"/>
        <v>307.74722222222954</v>
      </c>
      <c r="E298" s="11">
        <f t="shared" si="29"/>
        <v>694.16666666666663</v>
      </c>
      <c r="F298" s="11">
        <f t="shared" si="30"/>
        <v>52062.500000001251</v>
      </c>
      <c r="H298" s="24">
        <f t="shared" si="25"/>
        <v>4.0493055555555202</v>
      </c>
      <c r="I298" s="28">
        <f t="shared" si="26"/>
        <v>1001.9138888888988</v>
      </c>
      <c r="J298" s="36"/>
    </row>
    <row r="299" spans="2:10" x14ac:dyDescent="0.35">
      <c r="B299" s="10">
        <v>286</v>
      </c>
      <c r="C299" s="11">
        <f t="shared" si="27"/>
        <v>997.86458333334053</v>
      </c>
      <c r="D299" s="11">
        <f t="shared" si="28"/>
        <v>303.69791666667396</v>
      </c>
      <c r="E299" s="11">
        <f t="shared" si="29"/>
        <v>694.16666666666663</v>
      </c>
      <c r="F299" s="11">
        <f t="shared" si="30"/>
        <v>51368.333333334587</v>
      </c>
      <c r="H299" s="24">
        <f t="shared" si="25"/>
        <v>4.0493055555556339</v>
      </c>
      <c r="I299" s="28">
        <f t="shared" si="26"/>
        <v>997.86458333331075</v>
      </c>
      <c r="J299" s="36"/>
    </row>
    <row r="300" spans="2:10" x14ac:dyDescent="0.35">
      <c r="B300" s="10">
        <v>287</v>
      </c>
      <c r="C300" s="11">
        <f t="shared" si="27"/>
        <v>993.81527777778501</v>
      </c>
      <c r="D300" s="11">
        <f t="shared" si="28"/>
        <v>299.64861111111844</v>
      </c>
      <c r="E300" s="11">
        <f t="shared" si="29"/>
        <v>694.16666666666663</v>
      </c>
      <c r="F300" s="11">
        <f t="shared" si="30"/>
        <v>50674.166666667923</v>
      </c>
      <c r="H300" s="24">
        <f t="shared" ref="H300:H363" si="31">C299-C300</f>
        <v>4.0493055555555202</v>
      </c>
      <c r="I300" s="28">
        <f t="shared" ref="I300:I363" si="32">$I$14-((B300-1)*H300)</f>
        <v>993.81527777778774</v>
      </c>
      <c r="J300" s="36"/>
    </row>
    <row r="301" spans="2:10" x14ac:dyDescent="0.35">
      <c r="B301" s="10">
        <v>288</v>
      </c>
      <c r="C301" s="11">
        <f t="shared" si="27"/>
        <v>989.76597222222949</v>
      </c>
      <c r="D301" s="11">
        <f t="shared" si="28"/>
        <v>295.59930555556292</v>
      </c>
      <c r="E301" s="11">
        <f t="shared" si="29"/>
        <v>694.16666666666663</v>
      </c>
      <c r="F301" s="11">
        <f t="shared" si="30"/>
        <v>49980.000000001259</v>
      </c>
      <c r="H301" s="24">
        <f t="shared" si="31"/>
        <v>4.0493055555555202</v>
      </c>
      <c r="I301" s="28">
        <f t="shared" si="32"/>
        <v>989.76597222223222</v>
      </c>
      <c r="J301" s="36"/>
    </row>
    <row r="302" spans="2:10" x14ac:dyDescent="0.35">
      <c r="B302" s="10">
        <v>289</v>
      </c>
      <c r="C302" s="11">
        <f t="shared" si="27"/>
        <v>985.71666666667397</v>
      </c>
      <c r="D302" s="11">
        <f t="shared" si="28"/>
        <v>291.55000000000734</v>
      </c>
      <c r="E302" s="11">
        <f t="shared" si="29"/>
        <v>694.16666666666663</v>
      </c>
      <c r="F302" s="11">
        <f t="shared" si="30"/>
        <v>49285.833333334594</v>
      </c>
      <c r="H302" s="24">
        <f t="shared" si="31"/>
        <v>4.0493055555555202</v>
      </c>
      <c r="I302" s="28">
        <f t="shared" si="32"/>
        <v>985.7166666666767</v>
      </c>
      <c r="J302" s="36"/>
    </row>
    <row r="303" spans="2:10" x14ac:dyDescent="0.35">
      <c r="B303" s="10">
        <v>290</v>
      </c>
      <c r="C303" s="11">
        <f t="shared" si="27"/>
        <v>981.66736111111845</v>
      </c>
      <c r="D303" s="11">
        <f t="shared" si="28"/>
        <v>287.50069444445182</v>
      </c>
      <c r="E303" s="11">
        <f t="shared" si="29"/>
        <v>694.16666666666663</v>
      </c>
      <c r="F303" s="11">
        <f t="shared" si="30"/>
        <v>48591.66666666793</v>
      </c>
      <c r="H303" s="24">
        <f t="shared" si="31"/>
        <v>4.0493055555555202</v>
      </c>
      <c r="I303" s="28">
        <f t="shared" si="32"/>
        <v>981.66736111112118</v>
      </c>
      <c r="J303" s="36"/>
    </row>
    <row r="304" spans="2:10" x14ac:dyDescent="0.35">
      <c r="B304" s="10">
        <v>291</v>
      </c>
      <c r="C304" s="11">
        <f t="shared" si="27"/>
        <v>977.61805555556293</v>
      </c>
      <c r="D304" s="11">
        <f t="shared" si="28"/>
        <v>283.45138888889625</v>
      </c>
      <c r="E304" s="11">
        <f t="shared" si="29"/>
        <v>694.16666666666663</v>
      </c>
      <c r="F304" s="11">
        <f t="shared" si="30"/>
        <v>47897.500000001266</v>
      </c>
      <c r="H304" s="24">
        <f t="shared" si="31"/>
        <v>4.0493055555555202</v>
      </c>
      <c r="I304" s="28">
        <f t="shared" si="32"/>
        <v>977.61805555556566</v>
      </c>
      <c r="J304" s="36"/>
    </row>
    <row r="305" spans="2:10" x14ac:dyDescent="0.35">
      <c r="B305" s="10">
        <v>292</v>
      </c>
      <c r="C305" s="11">
        <f t="shared" si="27"/>
        <v>973.56875000000741</v>
      </c>
      <c r="D305" s="11">
        <f t="shared" si="28"/>
        <v>279.40208333334073</v>
      </c>
      <c r="E305" s="11">
        <f t="shared" si="29"/>
        <v>694.16666666666663</v>
      </c>
      <c r="F305" s="11">
        <f t="shared" si="30"/>
        <v>47203.333333334602</v>
      </c>
      <c r="H305" s="24">
        <f t="shared" si="31"/>
        <v>4.0493055555555202</v>
      </c>
      <c r="I305" s="28">
        <f t="shared" si="32"/>
        <v>973.56875000001014</v>
      </c>
      <c r="J305" s="36"/>
    </row>
    <row r="306" spans="2:10" x14ac:dyDescent="0.35">
      <c r="B306" s="10">
        <v>293</v>
      </c>
      <c r="C306" s="11">
        <f t="shared" si="27"/>
        <v>969.51944444445189</v>
      </c>
      <c r="D306" s="11">
        <f t="shared" si="28"/>
        <v>275.35277777778521</v>
      </c>
      <c r="E306" s="11">
        <f t="shared" si="29"/>
        <v>694.16666666666663</v>
      </c>
      <c r="F306" s="11">
        <f t="shared" si="30"/>
        <v>46509.166666667938</v>
      </c>
      <c r="H306" s="24">
        <f t="shared" si="31"/>
        <v>4.0493055555555202</v>
      </c>
      <c r="I306" s="28">
        <f t="shared" si="32"/>
        <v>969.51944444445462</v>
      </c>
      <c r="J306" s="36"/>
    </row>
    <row r="307" spans="2:10" x14ac:dyDescent="0.35">
      <c r="B307" s="10">
        <v>294</v>
      </c>
      <c r="C307" s="11">
        <f t="shared" si="27"/>
        <v>965.47013888889626</v>
      </c>
      <c r="D307" s="11">
        <f t="shared" si="28"/>
        <v>271.30347222222963</v>
      </c>
      <c r="E307" s="11">
        <f t="shared" si="29"/>
        <v>694.16666666666663</v>
      </c>
      <c r="F307" s="11">
        <f t="shared" si="30"/>
        <v>45815.000000001273</v>
      </c>
      <c r="H307" s="24">
        <f t="shared" si="31"/>
        <v>4.0493055555556339</v>
      </c>
      <c r="I307" s="28">
        <f t="shared" si="32"/>
        <v>965.47013888886568</v>
      </c>
      <c r="J307" s="36"/>
    </row>
    <row r="308" spans="2:10" x14ac:dyDescent="0.35">
      <c r="B308" s="10">
        <v>295</v>
      </c>
      <c r="C308" s="11">
        <f t="shared" si="27"/>
        <v>961.42083333334074</v>
      </c>
      <c r="D308" s="11">
        <f t="shared" si="28"/>
        <v>267.25416666667411</v>
      </c>
      <c r="E308" s="11">
        <f t="shared" si="29"/>
        <v>694.16666666666663</v>
      </c>
      <c r="F308" s="11">
        <f t="shared" si="30"/>
        <v>45120.833333334609</v>
      </c>
      <c r="H308" s="24">
        <f t="shared" si="31"/>
        <v>4.0493055555555202</v>
      </c>
      <c r="I308" s="28">
        <f t="shared" si="32"/>
        <v>961.42083333334358</v>
      </c>
      <c r="J308" s="36"/>
    </row>
    <row r="309" spans="2:10" x14ac:dyDescent="0.35">
      <c r="B309" s="10">
        <v>296</v>
      </c>
      <c r="C309" s="11">
        <f t="shared" si="27"/>
        <v>957.37152777778522</v>
      </c>
      <c r="D309" s="11">
        <f t="shared" si="28"/>
        <v>263.20486111111859</v>
      </c>
      <c r="E309" s="11">
        <f t="shared" si="29"/>
        <v>694.16666666666663</v>
      </c>
      <c r="F309" s="11">
        <f t="shared" si="30"/>
        <v>44426.666666667945</v>
      </c>
      <c r="H309" s="24">
        <f t="shared" si="31"/>
        <v>4.0493055555555202</v>
      </c>
      <c r="I309" s="28">
        <f t="shared" si="32"/>
        <v>957.37152777778806</v>
      </c>
      <c r="J309" s="36"/>
    </row>
    <row r="310" spans="2:10" x14ac:dyDescent="0.35">
      <c r="B310" s="10">
        <v>297</v>
      </c>
      <c r="C310" s="11">
        <f t="shared" si="27"/>
        <v>953.32222222222958</v>
      </c>
      <c r="D310" s="11">
        <f t="shared" si="28"/>
        <v>259.15555555556301</v>
      </c>
      <c r="E310" s="11">
        <f t="shared" si="29"/>
        <v>694.16666666666663</v>
      </c>
      <c r="F310" s="11">
        <f t="shared" si="30"/>
        <v>43732.500000001281</v>
      </c>
      <c r="H310" s="24">
        <f t="shared" si="31"/>
        <v>4.0493055555556339</v>
      </c>
      <c r="I310" s="28">
        <f t="shared" si="32"/>
        <v>953.32222222219889</v>
      </c>
      <c r="J310" s="36"/>
    </row>
    <row r="311" spans="2:10" x14ac:dyDescent="0.35">
      <c r="B311" s="10">
        <v>298</v>
      </c>
      <c r="C311" s="11">
        <f t="shared" si="27"/>
        <v>949.27291666667406</v>
      </c>
      <c r="D311" s="11">
        <f t="shared" si="28"/>
        <v>255.10625000000749</v>
      </c>
      <c r="E311" s="11">
        <f t="shared" si="29"/>
        <v>694.16666666666663</v>
      </c>
      <c r="F311" s="11">
        <f t="shared" si="30"/>
        <v>43038.333333334616</v>
      </c>
      <c r="H311" s="24">
        <f t="shared" si="31"/>
        <v>4.0493055555555202</v>
      </c>
      <c r="I311" s="28">
        <f t="shared" si="32"/>
        <v>949.27291666667702</v>
      </c>
      <c r="J311" s="36"/>
    </row>
    <row r="312" spans="2:10" x14ac:dyDescent="0.35">
      <c r="B312" s="10">
        <v>299</v>
      </c>
      <c r="C312" s="11">
        <f t="shared" si="27"/>
        <v>945.22361111111854</v>
      </c>
      <c r="D312" s="11">
        <f t="shared" si="28"/>
        <v>251.05694444445194</v>
      </c>
      <c r="E312" s="11">
        <f t="shared" si="29"/>
        <v>694.16666666666663</v>
      </c>
      <c r="F312" s="11">
        <f t="shared" si="30"/>
        <v>42344.166666667952</v>
      </c>
      <c r="H312" s="24">
        <f t="shared" si="31"/>
        <v>4.0493055555555202</v>
      </c>
      <c r="I312" s="28">
        <f t="shared" si="32"/>
        <v>945.2236111111215</v>
      </c>
      <c r="J312" s="36"/>
    </row>
    <row r="313" spans="2:10" x14ac:dyDescent="0.35">
      <c r="B313" s="10">
        <v>300</v>
      </c>
      <c r="C313" s="11">
        <f t="shared" si="27"/>
        <v>941.17430555556302</v>
      </c>
      <c r="D313" s="11">
        <f t="shared" si="28"/>
        <v>247.00763888889639</v>
      </c>
      <c r="E313" s="11">
        <f t="shared" si="29"/>
        <v>694.16666666666663</v>
      </c>
      <c r="F313" s="11">
        <f t="shared" si="30"/>
        <v>41650.000000001288</v>
      </c>
      <c r="H313" s="24">
        <f t="shared" si="31"/>
        <v>4.0493055555555202</v>
      </c>
      <c r="I313" s="28">
        <f t="shared" si="32"/>
        <v>941.17430555556598</v>
      </c>
      <c r="J313" s="36"/>
    </row>
    <row r="314" spans="2:10" x14ac:dyDescent="0.35">
      <c r="B314" s="10">
        <v>301</v>
      </c>
      <c r="C314" s="11">
        <f t="shared" si="27"/>
        <v>937.1250000000075</v>
      </c>
      <c r="D314" s="11">
        <f t="shared" si="28"/>
        <v>242.95833333334085</v>
      </c>
      <c r="E314" s="11">
        <f t="shared" si="29"/>
        <v>694.16666666666663</v>
      </c>
      <c r="F314" s="11">
        <f t="shared" si="30"/>
        <v>40955.833333334624</v>
      </c>
      <c r="H314" s="24">
        <f t="shared" si="31"/>
        <v>4.0493055555555202</v>
      </c>
      <c r="I314" s="28">
        <f t="shared" si="32"/>
        <v>937.12500000001046</v>
      </c>
      <c r="J314" s="36"/>
    </row>
    <row r="315" spans="2:10" x14ac:dyDescent="0.35">
      <c r="B315" s="10">
        <v>302</v>
      </c>
      <c r="C315" s="11">
        <f t="shared" si="27"/>
        <v>933.07569444445198</v>
      </c>
      <c r="D315" s="11">
        <f t="shared" si="28"/>
        <v>238.90902777778533</v>
      </c>
      <c r="E315" s="11">
        <f t="shared" si="29"/>
        <v>694.16666666666663</v>
      </c>
      <c r="F315" s="11">
        <f t="shared" si="30"/>
        <v>40261.666666667959</v>
      </c>
      <c r="H315" s="24">
        <f t="shared" si="31"/>
        <v>4.0493055555555202</v>
      </c>
      <c r="I315" s="28">
        <f t="shared" si="32"/>
        <v>933.07569444445494</v>
      </c>
      <c r="J315" s="36"/>
    </row>
    <row r="316" spans="2:10" x14ac:dyDescent="0.35">
      <c r="B316" s="10">
        <v>303</v>
      </c>
      <c r="C316" s="11">
        <f t="shared" si="27"/>
        <v>929.02638888889646</v>
      </c>
      <c r="D316" s="11">
        <f t="shared" si="28"/>
        <v>234.85972222222978</v>
      </c>
      <c r="E316" s="11">
        <f t="shared" si="29"/>
        <v>694.16666666666663</v>
      </c>
      <c r="F316" s="11">
        <f t="shared" si="30"/>
        <v>39567.500000001295</v>
      </c>
      <c r="H316" s="24">
        <f t="shared" si="31"/>
        <v>4.0493055555555202</v>
      </c>
      <c r="I316" s="28">
        <f t="shared" si="32"/>
        <v>929.02638888889942</v>
      </c>
      <c r="J316" s="36"/>
    </row>
    <row r="317" spans="2:10" x14ac:dyDescent="0.35">
      <c r="B317" s="10">
        <v>304</v>
      </c>
      <c r="C317" s="11">
        <f t="shared" si="27"/>
        <v>924.97708333334083</v>
      </c>
      <c r="D317" s="11">
        <f t="shared" si="28"/>
        <v>230.81041666667423</v>
      </c>
      <c r="E317" s="11">
        <f t="shared" si="29"/>
        <v>694.16666666666663</v>
      </c>
      <c r="F317" s="11">
        <f t="shared" si="30"/>
        <v>38873.333333334631</v>
      </c>
      <c r="H317" s="24">
        <f t="shared" si="31"/>
        <v>4.0493055555556339</v>
      </c>
      <c r="I317" s="28">
        <f t="shared" si="32"/>
        <v>924.97708333330957</v>
      </c>
      <c r="J317" s="36"/>
    </row>
    <row r="318" spans="2:10" x14ac:dyDescent="0.35">
      <c r="B318" s="10">
        <v>305</v>
      </c>
      <c r="C318" s="11">
        <f t="shared" si="27"/>
        <v>920.92777777778531</v>
      </c>
      <c r="D318" s="11">
        <f t="shared" si="28"/>
        <v>226.76111111111868</v>
      </c>
      <c r="E318" s="11">
        <f t="shared" si="29"/>
        <v>694.16666666666663</v>
      </c>
      <c r="F318" s="11">
        <f t="shared" si="30"/>
        <v>38179.166666667967</v>
      </c>
      <c r="H318" s="24">
        <f t="shared" si="31"/>
        <v>4.0493055555555202</v>
      </c>
      <c r="I318" s="28">
        <f t="shared" si="32"/>
        <v>920.92777777778838</v>
      </c>
      <c r="J318" s="36"/>
    </row>
    <row r="319" spans="2:10" x14ac:dyDescent="0.35">
      <c r="B319" s="10">
        <v>306</v>
      </c>
      <c r="C319" s="11">
        <f t="shared" si="27"/>
        <v>916.87847222222979</v>
      </c>
      <c r="D319" s="11">
        <f t="shared" si="28"/>
        <v>222.71180555556316</v>
      </c>
      <c r="E319" s="11">
        <f t="shared" si="29"/>
        <v>694.16666666666663</v>
      </c>
      <c r="F319" s="11">
        <f t="shared" si="30"/>
        <v>37485.000000001302</v>
      </c>
      <c r="H319" s="24">
        <f t="shared" si="31"/>
        <v>4.0493055555555202</v>
      </c>
      <c r="I319" s="28">
        <f t="shared" si="32"/>
        <v>916.87847222223286</v>
      </c>
      <c r="J319" s="36"/>
    </row>
    <row r="320" spans="2:10" x14ac:dyDescent="0.35">
      <c r="B320" s="10">
        <v>307</v>
      </c>
      <c r="C320" s="11">
        <f t="shared" si="27"/>
        <v>912.82916666667427</v>
      </c>
      <c r="D320" s="11">
        <f t="shared" si="28"/>
        <v>218.66250000000761</v>
      </c>
      <c r="E320" s="11">
        <f t="shared" si="29"/>
        <v>694.16666666666663</v>
      </c>
      <c r="F320" s="11">
        <f t="shared" si="30"/>
        <v>36790.833333334638</v>
      </c>
      <c r="H320" s="24">
        <f t="shared" si="31"/>
        <v>4.0493055555555202</v>
      </c>
      <c r="I320" s="28">
        <f t="shared" si="32"/>
        <v>912.82916666667734</v>
      </c>
      <c r="J320" s="36"/>
    </row>
    <row r="321" spans="2:10" x14ac:dyDescent="0.35">
      <c r="B321" s="10">
        <v>308</v>
      </c>
      <c r="C321" s="11">
        <f t="shared" si="27"/>
        <v>908.77986111111863</v>
      </c>
      <c r="D321" s="11">
        <f t="shared" si="28"/>
        <v>214.61319444445206</v>
      </c>
      <c r="E321" s="11">
        <f t="shared" si="29"/>
        <v>694.16666666666663</v>
      </c>
      <c r="F321" s="11">
        <f t="shared" si="30"/>
        <v>36096.666666667974</v>
      </c>
      <c r="H321" s="24">
        <f t="shared" si="31"/>
        <v>4.0493055555556339</v>
      </c>
      <c r="I321" s="28">
        <f t="shared" si="32"/>
        <v>908.77986111108703</v>
      </c>
      <c r="J321" s="36"/>
    </row>
    <row r="322" spans="2:10" x14ac:dyDescent="0.35">
      <c r="B322" s="10">
        <v>309</v>
      </c>
      <c r="C322" s="11">
        <f t="shared" si="27"/>
        <v>904.73055555556311</v>
      </c>
      <c r="D322" s="11">
        <f t="shared" si="28"/>
        <v>210.56388888889651</v>
      </c>
      <c r="E322" s="11">
        <f t="shared" si="29"/>
        <v>694.16666666666663</v>
      </c>
      <c r="F322" s="11">
        <f t="shared" si="30"/>
        <v>35402.50000000131</v>
      </c>
      <c r="H322" s="24">
        <f t="shared" si="31"/>
        <v>4.0493055555555202</v>
      </c>
      <c r="I322" s="28">
        <f t="shared" si="32"/>
        <v>904.7305555555663</v>
      </c>
      <c r="J322" s="36"/>
    </row>
    <row r="323" spans="2:10" x14ac:dyDescent="0.35">
      <c r="B323" s="10">
        <v>310</v>
      </c>
      <c r="C323" s="11">
        <f t="shared" si="27"/>
        <v>900.68125000000759</v>
      </c>
      <c r="D323" s="11">
        <f t="shared" si="28"/>
        <v>206.51458333334099</v>
      </c>
      <c r="E323" s="11">
        <f t="shared" si="29"/>
        <v>694.16666666666663</v>
      </c>
      <c r="F323" s="11">
        <f t="shared" si="30"/>
        <v>34708.333333334645</v>
      </c>
      <c r="H323" s="24">
        <f t="shared" si="31"/>
        <v>4.0493055555555202</v>
      </c>
      <c r="I323" s="28">
        <f t="shared" si="32"/>
        <v>900.68125000001078</v>
      </c>
      <c r="J323" s="36"/>
    </row>
    <row r="324" spans="2:10" x14ac:dyDescent="0.35">
      <c r="B324" s="10">
        <v>311</v>
      </c>
      <c r="C324" s="11">
        <f t="shared" si="27"/>
        <v>896.63194444445207</v>
      </c>
      <c r="D324" s="11">
        <f t="shared" si="28"/>
        <v>202.46527777778545</v>
      </c>
      <c r="E324" s="11">
        <f t="shared" si="29"/>
        <v>694.16666666666663</v>
      </c>
      <c r="F324" s="11">
        <f t="shared" si="30"/>
        <v>34014.166666667981</v>
      </c>
      <c r="H324" s="24">
        <f t="shared" si="31"/>
        <v>4.0493055555555202</v>
      </c>
      <c r="I324" s="28">
        <f t="shared" si="32"/>
        <v>896.63194444445526</v>
      </c>
      <c r="J324" s="36"/>
    </row>
    <row r="325" spans="2:10" x14ac:dyDescent="0.35">
      <c r="B325" s="10">
        <v>312</v>
      </c>
      <c r="C325" s="11">
        <f t="shared" si="27"/>
        <v>892.58263888889655</v>
      </c>
      <c r="D325" s="11">
        <f t="shared" si="28"/>
        <v>198.4159722222299</v>
      </c>
      <c r="E325" s="11">
        <f t="shared" si="29"/>
        <v>694.16666666666663</v>
      </c>
      <c r="F325" s="11">
        <f t="shared" si="30"/>
        <v>33320.000000001317</v>
      </c>
      <c r="H325" s="24">
        <f t="shared" si="31"/>
        <v>4.0493055555555202</v>
      </c>
      <c r="I325" s="28">
        <f t="shared" si="32"/>
        <v>892.58263888889974</v>
      </c>
      <c r="J325" s="36"/>
    </row>
    <row r="326" spans="2:10" x14ac:dyDescent="0.35">
      <c r="B326" s="10">
        <v>313</v>
      </c>
      <c r="C326" s="11">
        <f t="shared" si="27"/>
        <v>888.53333333334103</v>
      </c>
      <c r="D326" s="11">
        <f t="shared" si="28"/>
        <v>194.36666666667435</v>
      </c>
      <c r="E326" s="11">
        <f t="shared" si="29"/>
        <v>694.16666666666663</v>
      </c>
      <c r="F326" s="11">
        <f t="shared" si="30"/>
        <v>32625.833333334649</v>
      </c>
      <c r="H326" s="24">
        <f t="shared" si="31"/>
        <v>4.0493055555555202</v>
      </c>
      <c r="I326" s="28">
        <f t="shared" si="32"/>
        <v>888.53333333334422</v>
      </c>
      <c r="J326" s="36"/>
    </row>
    <row r="327" spans="2:10" x14ac:dyDescent="0.35">
      <c r="B327" s="10">
        <v>314</v>
      </c>
      <c r="C327" s="11">
        <f t="shared" si="27"/>
        <v>884.4840277777854</v>
      </c>
      <c r="D327" s="11">
        <f t="shared" si="28"/>
        <v>190.3173611111188</v>
      </c>
      <c r="E327" s="11">
        <f t="shared" si="29"/>
        <v>694.16666666666663</v>
      </c>
      <c r="F327" s="11">
        <f t="shared" si="30"/>
        <v>31931.666666667981</v>
      </c>
      <c r="H327" s="24">
        <f t="shared" si="31"/>
        <v>4.0493055555556339</v>
      </c>
      <c r="I327" s="28">
        <f t="shared" si="32"/>
        <v>884.484027777753</v>
      </c>
      <c r="J327" s="36"/>
    </row>
    <row r="328" spans="2:10" x14ac:dyDescent="0.35">
      <c r="B328" s="10">
        <v>315</v>
      </c>
      <c r="C328" s="11">
        <f t="shared" si="27"/>
        <v>880.43472222222988</v>
      </c>
      <c r="D328" s="11">
        <f t="shared" si="28"/>
        <v>186.26805555556322</v>
      </c>
      <c r="E328" s="11">
        <f t="shared" si="29"/>
        <v>694.16666666666663</v>
      </c>
      <c r="F328" s="11">
        <f t="shared" si="30"/>
        <v>31237.500000001313</v>
      </c>
      <c r="H328" s="24">
        <f t="shared" si="31"/>
        <v>4.0493055555555202</v>
      </c>
      <c r="I328" s="28">
        <f t="shared" si="32"/>
        <v>880.43472222223318</v>
      </c>
      <c r="J328" s="36"/>
    </row>
    <row r="329" spans="2:10" x14ac:dyDescent="0.35">
      <c r="B329" s="10">
        <v>316</v>
      </c>
      <c r="C329" s="11">
        <f t="shared" si="27"/>
        <v>876.38541666667425</v>
      </c>
      <c r="D329" s="11">
        <f t="shared" si="28"/>
        <v>182.21875000000767</v>
      </c>
      <c r="E329" s="11">
        <f t="shared" si="29"/>
        <v>694.16666666666663</v>
      </c>
      <c r="F329" s="11">
        <f t="shared" si="30"/>
        <v>30543.333333334645</v>
      </c>
      <c r="H329" s="24">
        <f t="shared" si="31"/>
        <v>4.0493055555556339</v>
      </c>
      <c r="I329" s="28">
        <f t="shared" si="32"/>
        <v>876.38541666664196</v>
      </c>
      <c r="J329" s="36"/>
    </row>
    <row r="330" spans="2:10" x14ac:dyDescent="0.35">
      <c r="B330" s="10">
        <v>317</v>
      </c>
      <c r="C330" s="11">
        <f t="shared" si="27"/>
        <v>872.33611111111873</v>
      </c>
      <c r="D330" s="11">
        <f t="shared" si="28"/>
        <v>178.1694444444521</v>
      </c>
      <c r="E330" s="11">
        <f t="shared" si="29"/>
        <v>694.16666666666663</v>
      </c>
      <c r="F330" s="11">
        <f t="shared" si="30"/>
        <v>29849.166666667978</v>
      </c>
      <c r="H330" s="24">
        <f t="shared" si="31"/>
        <v>4.0493055555555202</v>
      </c>
      <c r="I330" s="28">
        <f t="shared" si="32"/>
        <v>872.33611111112214</v>
      </c>
      <c r="J330" s="36"/>
    </row>
    <row r="331" spans="2:10" x14ac:dyDescent="0.35">
      <c r="B331" s="10">
        <v>318</v>
      </c>
      <c r="C331" s="11">
        <f t="shared" si="27"/>
        <v>868.28680555556321</v>
      </c>
      <c r="D331" s="11">
        <f t="shared" si="28"/>
        <v>174.12013888889655</v>
      </c>
      <c r="E331" s="11">
        <f t="shared" si="29"/>
        <v>694.16666666666663</v>
      </c>
      <c r="F331" s="11">
        <f t="shared" si="30"/>
        <v>29155.00000000131</v>
      </c>
      <c r="H331" s="24">
        <f t="shared" si="31"/>
        <v>4.0493055555555202</v>
      </c>
      <c r="I331" s="28">
        <f t="shared" si="32"/>
        <v>868.28680555556662</v>
      </c>
      <c r="J331" s="36"/>
    </row>
    <row r="332" spans="2:10" x14ac:dyDescent="0.35">
      <c r="B332" s="10">
        <v>319</v>
      </c>
      <c r="C332" s="11">
        <f t="shared" si="27"/>
        <v>864.23750000000757</v>
      </c>
      <c r="D332" s="11">
        <f t="shared" si="28"/>
        <v>170.07083333334097</v>
      </c>
      <c r="E332" s="11">
        <f t="shared" si="29"/>
        <v>694.16666666666663</v>
      </c>
      <c r="F332" s="11">
        <f t="shared" si="30"/>
        <v>28460.833333334642</v>
      </c>
      <c r="H332" s="24">
        <f t="shared" si="31"/>
        <v>4.0493055555556339</v>
      </c>
      <c r="I332" s="28">
        <f t="shared" si="32"/>
        <v>864.23749999997494</v>
      </c>
      <c r="J332" s="36"/>
    </row>
    <row r="333" spans="2:10" x14ac:dyDescent="0.35">
      <c r="B333" s="10">
        <v>320</v>
      </c>
      <c r="C333" s="11">
        <f t="shared" si="27"/>
        <v>860.18819444445205</v>
      </c>
      <c r="D333" s="11">
        <f t="shared" si="28"/>
        <v>166.02152777778542</v>
      </c>
      <c r="E333" s="11">
        <f t="shared" si="29"/>
        <v>694.16666666666663</v>
      </c>
      <c r="F333" s="11">
        <f t="shared" si="30"/>
        <v>27766.666666667974</v>
      </c>
      <c r="H333" s="24">
        <f t="shared" si="31"/>
        <v>4.0493055555555202</v>
      </c>
      <c r="I333" s="28">
        <f t="shared" si="32"/>
        <v>860.18819444445558</v>
      </c>
      <c r="J333" s="36"/>
    </row>
    <row r="334" spans="2:10" x14ac:dyDescent="0.35">
      <c r="B334" s="10">
        <v>321</v>
      </c>
      <c r="C334" s="11">
        <f t="shared" si="27"/>
        <v>856.13888888889642</v>
      </c>
      <c r="D334" s="11">
        <f t="shared" si="28"/>
        <v>161.97222222222985</v>
      </c>
      <c r="E334" s="11">
        <f t="shared" si="29"/>
        <v>694.16666666666663</v>
      </c>
      <c r="F334" s="11">
        <f t="shared" si="30"/>
        <v>27072.500000001306</v>
      </c>
      <c r="H334" s="24">
        <f t="shared" si="31"/>
        <v>4.0493055555556339</v>
      </c>
      <c r="I334" s="28">
        <f t="shared" si="32"/>
        <v>856.13888888886368</v>
      </c>
      <c r="J334" s="36"/>
    </row>
    <row r="335" spans="2:10" x14ac:dyDescent="0.35">
      <c r="B335" s="10">
        <v>322</v>
      </c>
      <c r="C335" s="11">
        <f t="shared" ref="C335:C373" si="33">D335+E335</f>
        <v>852.0895833333409</v>
      </c>
      <c r="D335" s="11">
        <f t="shared" ref="D335:D373" si="34">F334*$C$5</f>
        <v>157.9229166666743</v>
      </c>
      <c r="E335" s="11">
        <f t="shared" ref="E335:E373" si="35">$C$10</f>
        <v>694.16666666666663</v>
      </c>
      <c r="F335" s="11">
        <f t="shared" ref="F335:F373" si="36">F334-E335</f>
        <v>26378.333333334638</v>
      </c>
      <c r="H335" s="24">
        <f t="shared" si="31"/>
        <v>4.0493055555555202</v>
      </c>
      <c r="I335" s="28">
        <f t="shared" si="32"/>
        <v>852.08958333334454</v>
      </c>
      <c r="J335" s="36"/>
    </row>
    <row r="336" spans="2:10" x14ac:dyDescent="0.35">
      <c r="B336" s="10">
        <v>323</v>
      </c>
      <c r="C336" s="11">
        <f t="shared" si="33"/>
        <v>848.04027777778538</v>
      </c>
      <c r="D336" s="11">
        <f t="shared" si="34"/>
        <v>153.87361111111872</v>
      </c>
      <c r="E336" s="11">
        <f t="shared" si="35"/>
        <v>694.16666666666663</v>
      </c>
      <c r="F336" s="11">
        <f t="shared" si="36"/>
        <v>25684.16666666797</v>
      </c>
      <c r="H336" s="24">
        <f t="shared" si="31"/>
        <v>4.0493055555555202</v>
      </c>
      <c r="I336" s="28">
        <f t="shared" si="32"/>
        <v>848.04027777778902</v>
      </c>
      <c r="J336" s="36"/>
    </row>
    <row r="337" spans="2:10" x14ac:dyDescent="0.35">
      <c r="B337" s="10">
        <v>324</v>
      </c>
      <c r="C337" s="11">
        <f t="shared" si="33"/>
        <v>843.99097222222986</v>
      </c>
      <c r="D337" s="11">
        <f t="shared" si="34"/>
        <v>149.82430555556317</v>
      </c>
      <c r="E337" s="11">
        <f t="shared" si="35"/>
        <v>694.16666666666663</v>
      </c>
      <c r="F337" s="11">
        <f t="shared" si="36"/>
        <v>24990.000000001302</v>
      </c>
      <c r="H337" s="24">
        <f t="shared" si="31"/>
        <v>4.0493055555555202</v>
      </c>
      <c r="I337" s="28">
        <f t="shared" si="32"/>
        <v>843.99097222223349</v>
      </c>
      <c r="J337" s="36"/>
    </row>
    <row r="338" spans="2:10" x14ac:dyDescent="0.35">
      <c r="B338" s="10">
        <v>325</v>
      </c>
      <c r="C338" s="11">
        <f t="shared" si="33"/>
        <v>839.94166666667422</v>
      </c>
      <c r="D338" s="11">
        <f t="shared" si="34"/>
        <v>145.77500000000759</v>
      </c>
      <c r="E338" s="11">
        <f t="shared" si="35"/>
        <v>694.16666666666663</v>
      </c>
      <c r="F338" s="11">
        <f t="shared" si="36"/>
        <v>24295.833333334635</v>
      </c>
      <c r="H338" s="24">
        <f t="shared" si="31"/>
        <v>4.0493055555556339</v>
      </c>
      <c r="I338" s="28">
        <f t="shared" si="32"/>
        <v>839.94166666664114</v>
      </c>
      <c r="J338" s="36"/>
    </row>
    <row r="339" spans="2:10" x14ac:dyDescent="0.35">
      <c r="B339" s="10">
        <v>326</v>
      </c>
      <c r="C339" s="11">
        <f t="shared" si="33"/>
        <v>835.8923611111187</v>
      </c>
      <c r="D339" s="11">
        <f t="shared" si="34"/>
        <v>141.72569444445205</v>
      </c>
      <c r="E339" s="11">
        <f t="shared" si="35"/>
        <v>694.16666666666663</v>
      </c>
      <c r="F339" s="11">
        <f t="shared" si="36"/>
        <v>23601.666666667967</v>
      </c>
      <c r="H339" s="24">
        <f t="shared" si="31"/>
        <v>4.0493055555555202</v>
      </c>
      <c r="I339" s="28">
        <f t="shared" si="32"/>
        <v>835.89236111112245</v>
      </c>
      <c r="J339" s="36"/>
    </row>
    <row r="340" spans="2:10" x14ac:dyDescent="0.35">
      <c r="B340" s="10">
        <v>327</v>
      </c>
      <c r="C340" s="11">
        <f t="shared" si="33"/>
        <v>831.84305555556307</v>
      </c>
      <c r="D340" s="11">
        <f t="shared" si="34"/>
        <v>137.67638888889647</v>
      </c>
      <c r="E340" s="11">
        <f t="shared" si="35"/>
        <v>694.16666666666663</v>
      </c>
      <c r="F340" s="11">
        <f t="shared" si="36"/>
        <v>22907.500000001299</v>
      </c>
      <c r="H340" s="24">
        <f t="shared" si="31"/>
        <v>4.0493055555556339</v>
      </c>
      <c r="I340" s="28">
        <f t="shared" si="32"/>
        <v>831.84305555552987</v>
      </c>
      <c r="J340" s="36"/>
    </row>
    <row r="341" spans="2:10" x14ac:dyDescent="0.35">
      <c r="B341" s="10">
        <v>328</v>
      </c>
      <c r="C341" s="11">
        <f t="shared" si="33"/>
        <v>827.79375000000755</v>
      </c>
      <c r="D341" s="11">
        <f t="shared" si="34"/>
        <v>133.62708333334092</v>
      </c>
      <c r="E341" s="11">
        <f t="shared" si="35"/>
        <v>694.16666666666663</v>
      </c>
      <c r="F341" s="11">
        <f t="shared" si="36"/>
        <v>22213.333333334631</v>
      </c>
      <c r="H341" s="24">
        <f t="shared" si="31"/>
        <v>4.0493055555555202</v>
      </c>
      <c r="I341" s="28">
        <f t="shared" si="32"/>
        <v>827.79375000001141</v>
      </c>
      <c r="J341" s="36"/>
    </row>
    <row r="342" spans="2:10" x14ac:dyDescent="0.35">
      <c r="B342" s="10">
        <v>329</v>
      </c>
      <c r="C342" s="11">
        <f t="shared" si="33"/>
        <v>823.74444444445203</v>
      </c>
      <c r="D342" s="11">
        <f t="shared" si="34"/>
        <v>129.57777777778534</v>
      </c>
      <c r="E342" s="11">
        <f t="shared" si="35"/>
        <v>694.16666666666663</v>
      </c>
      <c r="F342" s="11">
        <f t="shared" si="36"/>
        <v>21519.166666667963</v>
      </c>
      <c r="H342" s="24">
        <f t="shared" si="31"/>
        <v>4.0493055555555202</v>
      </c>
      <c r="I342" s="28">
        <f t="shared" si="32"/>
        <v>823.74444444445589</v>
      </c>
      <c r="J342" s="36"/>
    </row>
    <row r="343" spans="2:10" x14ac:dyDescent="0.35">
      <c r="B343" s="10">
        <v>330</v>
      </c>
      <c r="C343" s="11">
        <f t="shared" si="33"/>
        <v>819.69513888889639</v>
      </c>
      <c r="D343" s="11">
        <f t="shared" si="34"/>
        <v>125.52847222222979</v>
      </c>
      <c r="E343" s="11">
        <f t="shared" si="35"/>
        <v>694.16666666666663</v>
      </c>
      <c r="F343" s="11">
        <f t="shared" si="36"/>
        <v>20825.000000001295</v>
      </c>
      <c r="H343" s="24">
        <f t="shared" si="31"/>
        <v>4.0493055555556339</v>
      </c>
      <c r="I343" s="28">
        <f t="shared" si="32"/>
        <v>819.69513888886286</v>
      </c>
      <c r="J343" s="36"/>
    </row>
    <row r="344" spans="2:10" x14ac:dyDescent="0.35">
      <c r="B344" s="10">
        <v>331</v>
      </c>
      <c r="C344" s="11">
        <f t="shared" si="33"/>
        <v>815.64583333334087</v>
      </c>
      <c r="D344" s="11">
        <f t="shared" si="34"/>
        <v>121.47916666667423</v>
      </c>
      <c r="E344" s="11">
        <f t="shared" si="35"/>
        <v>694.16666666666663</v>
      </c>
      <c r="F344" s="11">
        <f t="shared" si="36"/>
        <v>20130.833333334627</v>
      </c>
      <c r="H344" s="24">
        <f t="shared" si="31"/>
        <v>4.0493055555555202</v>
      </c>
      <c r="I344" s="28">
        <f t="shared" si="32"/>
        <v>815.64583333334485</v>
      </c>
      <c r="J344" s="36"/>
    </row>
    <row r="345" spans="2:10" x14ac:dyDescent="0.35">
      <c r="B345" s="10">
        <v>332</v>
      </c>
      <c r="C345" s="11">
        <f t="shared" si="33"/>
        <v>811.59652777778524</v>
      </c>
      <c r="D345" s="11">
        <f t="shared" si="34"/>
        <v>117.42986111111867</v>
      </c>
      <c r="E345" s="11">
        <f t="shared" si="35"/>
        <v>694.16666666666663</v>
      </c>
      <c r="F345" s="11">
        <f t="shared" si="36"/>
        <v>19436.666666667959</v>
      </c>
      <c r="H345" s="24">
        <f t="shared" si="31"/>
        <v>4.0493055555556339</v>
      </c>
      <c r="I345" s="28">
        <f t="shared" si="32"/>
        <v>811.59652777775182</v>
      </c>
      <c r="J345" s="36"/>
    </row>
    <row r="346" spans="2:10" x14ac:dyDescent="0.35">
      <c r="B346" s="10">
        <v>333</v>
      </c>
      <c r="C346" s="11">
        <f t="shared" si="33"/>
        <v>807.54722222222972</v>
      </c>
      <c r="D346" s="11">
        <f t="shared" si="34"/>
        <v>113.38055555556311</v>
      </c>
      <c r="E346" s="11">
        <f t="shared" si="35"/>
        <v>694.16666666666663</v>
      </c>
      <c r="F346" s="11">
        <f t="shared" si="36"/>
        <v>18742.500000001291</v>
      </c>
      <c r="H346" s="24">
        <f t="shared" si="31"/>
        <v>4.0493055555555202</v>
      </c>
      <c r="I346" s="28">
        <f t="shared" si="32"/>
        <v>807.54722222223381</v>
      </c>
      <c r="J346" s="36"/>
    </row>
    <row r="347" spans="2:10" x14ac:dyDescent="0.35">
      <c r="B347" s="10">
        <v>334</v>
      </c>
      <c r="C347" s="11">
        <f t="shared" si="33"/>
        <v>803.4979166666742</v>
      </c>
      <c r="D347" s="11">
        <f t="shared" si="34"/>
        <v>109.33125000000754</v>
      </c>
      <c r="E347" s="11">
        <f t="shared" si="35"/>
        <v>694.16666666666663</v>
      </c>
      <c r="F347" s="11">
        <f t="shared" si="36"/>
        <v>18048.333333334624</v>
      </c>
      <c r="H347" s="24">
        <f t="shared" si="31"/>
        <v>4.0493055555555202</v>
      </c>
      <c r="I347" s="28">
        <f t="shared" si="32"/>
        <v>803.49791666667829</v>
      </c>
      <c r="J347" s="36"/>
    </row>
    <row r="348" spans="2:10" x14ac:dyDescent="0.35">
      <c r="B348" s="10">
        <v>335</v>
      </c>
      <c r="C348" s="11">
        <f t="shared" si="33"/>
        <v>799.44861111111857</v>
      </c>
      <c r="D348" s="11">
        <f t="shared" si="34"/>
        <v>105.28194444445198</v>
      </c>
      <c r="E348" s="11">
        <f t="shared" si="35"/>
        <v>694.16666666666663</v>
      </c>
      <c r="F348" s="11">
        <f t="shared" si="36"/>
        <v>17354.166666667956</v>
      </c>
      <c r="H348" s="24">
        <f t="shared" si="31"/>
        <v>4.0493055555556339</v>
      </c>
      <c r="I348" s="28">
        <f t="shared" si="32"/>
        <v>799.4486111110848</v>
      </c>
      <c r="J348" s="36"/>
    </row>
    <row r="349" spans="2:10" x14ac:dyDescent="0.35">
      <c r="B349" s="10">
        <v>336</v>
      </c>
      <c r="C349" s="11">
        <f t="shared" si="33"/>
        <v>795.39930555556305</v>
      </c>
      <c r="D349" s="11">
        <f t="shared" si="34"/>
        <v>101.23263888889642</v>
      </c>
      <c r="E349" s="11">
        <f t="shared" si="35"/>
        <v>694.16666666666663</v>
      </c>
      <c r="F349" s="11">
        <f t="shared" si="36"/>
        <v>16660.000000001288</v>
      </c>
      <c r="H349" s="24">
        <f t="shared" si="31"/>
        <v>4.0493055555555202</v>
      </c>
      <c r="I349" s="28">
        <f t="shared" si="32"/>
        <v>795.39930555556725</v>
      </c>
      <c r="J349" s="36"/>
    </row>
    <row r="350" spans="2:10" x14ac:dyDescent="0.35">
      <c r="B350" s="10">
        <v>337</v>
      </c>
      <c r="C350" s="11">
        <f t="shared" si="33"/>
        <v>791.35000000000753</v>
      </c>
      <c r="D350" s="11">
        <f t="shared" si="34"/>
        <v>97.183333333340855</v>
      </c>
      <c r="E350" s="11">
        <f t="shared" si="35"/>
        <v>694.16666666666663</v>
      </c>
      <c r="F350" s="11">
        <f t="shared" si="36"/>
        <v>15965.833333334622</v>
      </c>
      <c r="H350" s="24">
        <f t="shared" si="31"/>
        <v>4.0493055555555202</v>
      </c>
      <c r="I350" s="28">
        <f t="shared" si="32"/>
        <v>791.35000000001173</v>
      </c>
      <c r="J350" s="36"/>
    </row>
    <row r="351" spans="2:10" x14ac:dyDescent="0.35">
      <c r="B351" s="10">
        <v>338</v>
      </c>
      <c r="C351" s="11">
        <f t="shared" si="33"/>
        <v>787.30069444445189</v>
      </c>
      <c r="D351" s="11">
        <f t="shared" si="34"/>
        <v>93.134027777785292</v>
      </c>
      <c r="E351" s="11">
        <f t="shared" si="35"/>
        <v>694.16666666666663</v>
      </c>
      <c r="F351" s="11">
        <f t="shared" si="36"/>
        <v>15271.666666667956</v>
      </c>
      <c r="H351" s="24">
        <f t="shared" si="31"/>
        <v>4.0493055555556339</v>
      </c>
      <c r="I351" s="28">
        <f t="shared" si="32"/>
        <v>787.30069444441779</v>
      </c>
      <c r="J351" s="36"/>
    </row>
    <row r="352" spans="2:10" x14ac:dyDescent="0.35">
      <c r="B352" s="10">
        <v>339</v>
      </c>
      <c r="C352" s="11">
        <f t="shared" si="33"/>
        <v>783.25138888889637</v>
      </c>
      <c r="D352" s="11">
        <f t="shared" si="34"/>
        <v>89.084722222229743</v>
      </c>
      <c r="E352" s="11">
        <f t="shared" si="35"/>
        <v>694.16666666666663</v>
      </c>
      <c r="F352" s="11">
        <f t="shared" si="36"/>
        <v>14577.50000000129</v>
      </c>
      <c r="H352" s="24">
        <f t="shared" si="31"/>
        <v>4.0493055555555202</v>
      </c>
      <c r="I352" s="28">
        <f t="shared" si="32"/>
        <v>783.25138888890069</v>
      </c>
      <c r="J352" s="36"/>
    </row>
    <row r="353" spans="2:10" x14ac:dyDescent="0.35">
      <c r="B353" s="10">
        <v>340</v>
      </c>
      <c r="C353" s="11">
        <f t="shared" si="33"/>
        <v>779.20208333334085</v>
      </c>
      <c r="D353" s="11">
        <f t="shared" si="34"/>
        <v>85.035416666674195</v>
      </c>
      <c r="E353" s="11">
        <f t="shared" si="35"/>
        <v>694.16666666666663</v>
      </c>
      <c r="F353" s="11">
        <f t="shared" si="36"/>
        <v>13883.333333334624</v>
      </c>
      <c r="H353" s="24">
        <f t="shared" si="31"/>
        <v>4.0493055555555202</v>
      </c>
      <c r="I353" s="28">
        <f t="shared" si="32"/>
        <v>779.20208333334517</v>
      </c>
      <c r="J353" s="36"/>
    </row>
    <row r="354" spans="2:10" x14ac:dyDescent="0.35">
      <c r="B354" s="10">
        <v>341</v>
      </c>
      <c r="C354" s="11">
        <f t="shared" si="33"/>
        <v>775.15277777778533</v>
      </c>
      <c r="D354" s="11">
        <f t="shared" si="34"/>
        <v>80.986111111118646</v>
      </c>
      <c r="E354" s="11">
        <f t="shared" si="35"/>
        <v>694.16666666666663</v>
      </c>
      <c r="F354" s="11">
        <f t="shared" si="36"/>
        <v>13189.166666667958</v>
      </c>
      <c r="H354" s="24">
        <f t="shared" si="31"/>
        <v>4.0493055555555202</v>
      </c>
      <c r="I354" s="28">
        <f t="shared" si="32"/>
        <v>775.15277777778965</v>
      </c>
      <c r="J354" s="36"/>
    </row>
    <row r="355" spans="2:10" x14ac:dyDescent="0.35">
      <c r="B355" s="10">
        <v>342</v>
      </c>
      <c r="C355" s="11">
        <f t="shared" si="33"/>
        <v>771.1034722222297</v>
      </c>
      <c r="D355" s="11">
        <f t="shared" si="34"/>
        <v>76.936805555563083</v>
      </c>
      <c r="E355" s="11">
        <f t="shared" si="35"/>
        <v>694.16666666666663</v>
      </c>
      <c r="F355" s="11">
        <f t="shared" si="36"/>
        <v>12495.000000001291</v>
      </c>
      <c r="H355" s="24">
        <f t="shared" si="31"/>
        <v>4.0493055555556339</v>
      </c>
      <c r="I355" s="28">
        <f t="shared" si="32"/>
        <v>771.10347222219525</v>
      </c>
      <c r="J355" s="36"/>
    </row>
    <row r="356" spans="2:10" x14ac:dyDescent="0.35">
      <c r="B356" s="10">
        <v>343</v>
      </c>
      <c r="C356" s="11">
        <f t="shared" si="33"/>
        <v>767.05416666667418</v>
      </c>
      <c r="D356" s="11">
        <f t="shared" si="34"/>
        <v>72.887500000007535</v>
      </c>
      <c r="E356" s="11">
        <f t="shared" si="35"/>
        <v>694.16666666666663</v>
      </c>
      <c r="F356" s="11">
        <f t="shared" si="36"/>
        <v>11800.833333334625</v>
      </c>
      <c r="H356" s="24">
        <f t="shared" si="31"/>
        <v>4.0493055555555202</v>
      </c>
      <c r="I356" s="28">
        <f t="shared" si="32"/>
        <v>767.05416666667861</v>
      </c>
      <c r="J356" s="36"/>
    </row>
    <row r="357" spans="2:10" x14ac:dyDescent="0.35">
      <c r="B357" s="10">
        <v>344</v>
      </c>
      <c r="C357" s="11">
        <f t="shared" si="33"/>
        <v>763.00486111111866</v>
      </c>
      <c r="D357" s="11">
        <f t="shared" si="34"/>
        <v>68.838194444451986</v>
      </c>
      <c r="E357" s="11">
        <f t="shared" si="35"/>
        <v>694.16666666666663</v>
      </c>
      <c r="F357" s="11">
        <f t="shared" si="36"/>
        <v>11106.666666667959</v>
      </c>
      <c r="H357" s="24">
        <f t="shared" si="31"/>
        <v>4.0493055555555202</v>
      </c>
      <c r="I357" s="28">
        <f t="shared" si="32"/>
        <v>763.00486111112309</v>
      </c>
      <c r="J357" s="36"/>
    </row>
    <row r="358" spans="2:10" x14ac:dyDescent="0.35">
      <c r="B358" s="10">
        <v>345</v>
      </c>
      <c r="C358" s="11">
        <f t="shared" si="33"/>
        <v>758.95555555556302</v>
      </c>
      <c r="D358" s="11">
        <f t="shared" si="34"/>
        <v>64.788888888896437</v>
      </c>
      <c r="E358" s="11">
        <f t="shared" si="35"/>
        <v>694.16666666666663</v>
      </c>
      <c r="F358" s="11">
        <f t="shared" si="36"/>
        <v>10412.500000001293</v>
      </c>
      <c r="H358" s="24">
        <f t="shared" si="31"/>
        <v>4.0493055555556339</v>
      </c>
      <c r="I358" s="28">
        <f t="shared" si="32"/>
        <v>758.95555555552846</v>
      </c>
      <c r="J358" s="36"/>
    </row>
    <row r="359" spans="2:10" x14ac:dyDescent="0.35">
      <c r="B359" s="10">
        <v>346</v>
      </c>
      <c r="C359" s="11">
        <f t="shared" si="33"/>
        <v>754.9062500000075</v>
      </c>
      <c r="D359" s="11">
        <f t="shared" si="34"/>
        <v>60.739583333340882</v>
      </c>
      <c r="E359" s="11">
        <f t="shared" si="35"/>
        <v>694.16666666666663</v>
      </c>
      <c r="F359" s="11">
        <f t="shared" si="36"/>
        <v>9718.3333333346272</v>
      </c>
      <c r="H359" s="24">
        <f t="shared" si="31"/>
        <v>4.0493055555555202</v>
      </c>
      <c r="I359" s="28">
        <f t="shared" si="32"/>
        <v>754.90625000001205</v>
      </c>
      <c r="J359" s="36"/>
    </row>
    <row r="360" spans="2:10" x14ac:dyDescent="0.35">
      <c r="B360" s="10">
        <v>347</v>
      </c>
      <c r="C360" s="11">
        <f t="shared" si="33"/>
        <v>750.85694444445198</v>
      </c>
      <c r="D360" s="11">
        <f t="shared" si="34"/>
        <v>56.690277777785326</v>
      </c>
      <c r="E360" s="11">
        <f t="shared" si="35"/>
        <v>694.16666666666663</v>
      </c>
      <c r="F360" s="11">
        <f t="shared" si="36"/>
        <v>9024.1666666679612</v>
      </c>
      <c r="H360" s="24">
        <f t="shared" si="31"/>
        <v>4.0493055555555202</v>
      </c>
      <c r="I360" s="28">
        <f t="shared" si="32"/>
        <v>750.85694444445653</v>
      </c>
      <c r="J360" s="36"/>
    </row>
    <row r="361" spans="2:10" x14ac:dyDescent="0.35">
      <c r="B361" s="10">
        <v>348</v>
      </c>
      <c r="C361" s="11">
        <f t="shared" si="33"/>
        <v>746.80763888889646</v>
      </c>
      <c r="D361" s="11">
        <f t="shared" si="34"/>
        <v>52.640972222229777</v>
      </c>
      <c r="E361" s="11">
        <f t="shared" si="35"/>
        <v>694.16666666666663</v>
      </c>
      <c r="F361" s="11">
        <f t="shared" si="36"/>
        <v>8330.0000000012951</v>
      </c>
      <c r="H361" s="24">
        <f t="shared" si="31"/>
        <v>4.0493055555555202</v>
      </c>
      <c r="I361" s="28">
        <f t="shared" si="32"/>
        <v>746.80763888890101</v>
      </c>
      <c r="J361" s="36"/>
    </row>
    <row r="362" spans="2:10" x14ac:dyDescent="0.35">
      <c r="B362" s="10">
        <v>349</v>
      </c>
      <c r="C362" s="11">
        <f t="shared" si="33"/>
        <v>742.75833333334083</v>
      </c>
      <c r="D362" s="11">
        <f t="shared" si="34"/>
        <v>48.591666666674222</v>
      </c>
      <c r="E362" s="11">
        <f t="shared" si="35"/>
        <v>694.16666666666663</v>
      </c>
      <c r="F362" s="11">
        <f t="shared" si="36"/>
        <v>7635.8333333346282</v>
      </c>
      <c r="H362" s="24">
        <f t="shared" si="31"/>
        <v>4.0493055555556339</v>
      </c>
      <c r="I362" s="28">
        <f t="shared" si="32"/>
        <v>742.75833333330593</v>
      </c>
      <c r="J362" s="36"/>
    </row>
    <row r="363" spans="2:10" x14ac:dyDescent="0.35">
      <c r="B363" s="10">
        <v>350</v>
      </c>
      <c r="C363" s="11">
        <f t="shared" si="33"/>
        <v>738.70902777778531</v>
      </c>
      <c r="D363" s="11">
        <f t="shared" si="34"/>
        <v>44.542361111118666</v>
      </c>
      <c r="E363" s="11">
        <f t="shared" si="35"/>
        <v>694.16666666666663</v>
      </c>
      <c r="F363" s="11">
        <f t="shared" si="36"/>
        <v>6941.6666666679612</v>
      </c>
      <c r="H363" s="24">
        <f t="shared" si="31"/>
        <v>4.0493055555555202</v>
      </c>
      <c r="I363" s="28">
        <f t="shared" si="32"/>
        <v>738.70902777778997</v>
      </c>
      <c r="J363" s="36"/>
    </row>
    <row r="364" spans="2:10" x14ac:dyDescent="0.35">
      <c r="B364" s="10">
        <v>351</v>
      </c>
      <c r="C364" s="11">
        <f t="shared" si="33"/>
        <v>734.65972222222979</v>
      </c>
      <c r="D364" s="11">
        <f t="shared" si="34"/>
        <v>40.49305555556311</v>
      </c>
      <c r="E364" s="11">
        <f t="shared" si="35"/>
        <v>694.16666666666663</v>
      </c>
      <c r="F364" s="11">
        <f t="shared" si="36"/>
        <v>6247.5000000012942</v>
      </c>
      <c r="H364" s="24">
        <f t="shared" ref="H364:H373" si="37">C363-C364</f>
        <v>4.0493055555555202</v>
      </c>
      <c r="I364" s="28">
        <f t="shared" ref="I364:I373" si="38">$I$14-((B364-1)*H364)</f>
        <v>734.65972222223445</v>
      </c>
      <c r="J364" s="36"/>
    </row>
    <row r="365" spans="2:10" x14ac:dyDescent="0.35">
      <c r="B365" s="10">
        <v>352</v>
      </c>
      <c r="C365" s="11">
        <f t="shared" si="33"/>
        <v>730.61041666667415</v>
      </c>
      <c r="D365" s="11">
        <f t="shared" si="34"/>
        <v>36.443750000007554</v>
      </c>
      <c r="E365" s="11">
        <f t="shared" si="35"/>
        <v>694.16666666666663</v>
      </c>
      <c r="F365" s="11">
        <f t="shared" si="36"/>
        <v>5553.3333333346272</v>
      </c>
      <c r="H365" s="24">
        <f t="shared" si="37"/>
        <v>4.0493055555556339</v>
      </c>
      <c r="I365" s="28">
        <f t="shared" si="38"/>
        <v>730.61041666663914</v>
      </c>
      <c r="J365" s="36"/>
    </row>
    <row r="366" spans="2:10" x14ac:dyDescent="0.35">
      <c r="B366" s="10">
        <v>353</v>
      </c>
      <c r="C366" s="11">
        <f t="shared" si="33"/>
        <v>726.56111111111863</v>
      </c>
      <c r="D366" s="11">
        <f t="shared" si="34"/>
        <v>32.394444444451992</v>
      </c>
      <c r="E366" s="11">
        <f t="shared" si="35"/>
        <v>694.16666666666663</v>
      </c>
      <c r="F366" s="11">
        <f t="shared" si="36"/>
        <v>4859.1666666679603</v>
      </c>
      <c r="H366" s="24">
        <f t="shared" si="37"/>
        <v>4.0493055555555202</v>
      </c>
      <c r="I366" s="28">
        <f t="shared" si="38"/>
        <v>726.56111111112341</v>
      </c>
      <c r="J366" s="36"/>
    </row>
    <row r="367" spans="2:10" x14ac:dyDescent="0.35">
      <c r="B367" s="10">
        <v>354</v>
      </c>
      <c r="C367" s="11">
        <f t="shared" si="33"/>
        <v>722.51180555556311</v>
      </c>
      <c r="D367" s="11">
        <f t="shared" si="34"/>
        <v>28.345138888896436</v>
      </c>
      <c r="E367" s="11">
        <f t="shared" si="35"/>
        <v>694.16666666666663</v>
      </c>
      <c r="F367" s="11">
        <f t="shared" si="36"/>
        <v>4165.0000000012933</v>
      </c>
      <c r="H367" s="24">
        <f t="shared" si="37"/>
        <v>4.0493055555555202</v>
      </c>
      <c r="I367" s="28">
        <f t="shared" si="38"/>
        <v>722.51180555556789</v>
      </c>
      <c r="J367" s="36"/>
    </row>
    <row r="368" spans="2:10" x14ac:dyDescent="0.35">
      <c r="B368" s="10">
        <v>355</v>
      </c>
      <c r="C368" s="11">
        <f t="shared" si="33"/>
        <v>718.46250000000748</v>
      </c>
      <c r="D368" s="11">
        <f t="shared" si="34"/>
        <v>24.29583333334088</v>
      </c>
      <c r="E368" s="11">
        <f t="shared" si="35"/>
        <v>694.16666666666663</v>
      </c>
      <c r="F368" s="11">
        <f t="shared" si="36"/>
        <v>3470.8333333346268</v>
      </c>
      <c r="H368" s="24">
        <f t="shared" si="37"/>
        <v>4.0493055555556339</v>
      </c>
      <c r="I368" s="28">
        <f t="shared" si="38"/>
        <v>718.46249999997212</v>
      </c>
      <c r="J368" s="36"/>
    </row>
    <row r="369" spans="2:10" x14ac:dyDescent="0.35">
      <c r="B369" s="10">
        <v>356</v>
      </c>
      <c r="C369" s="11">
        <f t="shared" si="33"/>
        <v>714.41319444445196</v>
      </c>
      <c r="D369" s="11">
        <f t="shared" si="34"/>
        <v>20.246527777785325</v>
      </c>
      <c r="E369" s="11">
        <f t="shared" si="35"/>
        <v>694.16666666666663</v>
      </c>
      <c r="F369" s="11">
        <f t="shared" si="36"/>
        <v>2776.6666666679603</v>
      </c>
      <c r="H369" s="24">
        <f t="shared" si="37"/>
        <v>4.0493055555555202</v>
      </c>
      <c r="I369" s="28">
        <f t="shared" si="38"/>
        <v>714.41319444445685</v>
      </c>
      <c r="J369" s="36"/>
    </row>
    <row r="370" spans="2:10" x14ac:dyDescent="0.35">
      <c r="B370" s="10">
        <v>357</v>
      </c>
      <c r="C370" s="11">
        <f t="shared" si="33"/>
        <v>710.36388888889644</v>
      </c>
      <c r="D370" s="11">
        <f t="shared" si="34"/>
        <v>16.197222222229769</v>
      </c>
      <c r="E370" s="11">
        <f t="shared" si="35"/>
        <v>694.16666666666663</v>
      </c>
      <c r="F370" s="11">
        <f t="shared" si="36"/>
        <v>2082.5000000012938</v>
      </c>
      <c r="H370" s="24">
        <f t="shared" si="37"/>
        <v>4.0493055555555202</v>
      </c>
      <c r="I370" s="28">
        <f t="shared" si="38"/>
        <v>710.36388888890133</v>
      </c>
      <c r="J370" s="36"/>
    </row>
    <row r="371" spans="2:10" x14ac:dyDescent="0.35">
      <c r="B371" s="10">
        <v>358</v>
      </c>
      <c r="C371" s="11">
        <f t="shared" si="33"/>
        <v>706.31458333334081</v>
      </c>
      <c r="D371" s="11">
        <f t="shared" si="34"/>
        <v>12.147916666674215</v>
      </c>
      <c r="E371" s="11">
        <f t="shared" si="35"/>
        <v>694.16666666666663</v>
      </c>
      <c r="F371" s="11">
        <f t="shared" si="36"/>
        <v>1388.3333333346272</v>
      </c>
      <c r="H371" s="24">
        <f t="shared" si="37"/>
        <v>4.0493055555556339</v>
      </c>
      <c r="I371" s="28">
        <f t="shared" si="38"/>
        <v>706.31458333330511</v>
      </c>
      <c r="J371" s="36"/>
    </row>
    <row r="372" spans="2:10" x14ac:dyDescent="0.35">
      <c r="B372" s="10">
        <v>359</v>
      </c>
      <c r="C372" s="11">
        <f t="shared" si="33"/>
        <v>702.26527777778529</v>
      </c>
      <c r="D372" s="11">
        <f t="shared" si="34"/>
        <v>8.0986111111186592</v>
      </c>
      <c r="E372" s="11">
        <f t="shared" si="35"/>
        <v>694.16666666666663</v>
      </c>
      <c r="F372" s="11">
        <f t="shared" si="36"/>
        <v>694.16666666796061</v>
      </c>
      <c r="H372" s="24">
        <f t="shared" si="37"/>
        <v>4.0493055555555202</v>
      </c>
      <c r="I372" s="28">
        <f t="shared" si="38"/>
        <v>702.26527777779029</v>
      </c>
      <c r="J372" s="36"/>
    </row>
    <row r="373" spans="2:10" x14ac:dyDescent="0.35">
      <c r="B373" s="10">
        <v>360</v>
      </c>
      <c r="C373" s="11">
        <f t="shared" si="33"/>
        <v>698.21597222222977</v>
      </c>
      <c r="D373" s="11">
        <f t="shared" si="34"/>
        <v>4.0493055555631035</v>
      </c>
      <c r="E373" s="11">
        <f t="shared" si="35"/>
        <v>694.16666666666663</v>
      </c>
      <c r="F373" s="11">
        <f t="shared" si="36"/>
        <v>1.2939835869474337E-9</v>
      </c>
      <c r="H373" s="24">
        <f t="shared" si="37"/>
        <v>4.0493055555555202</v>
      </c>
      <c r="I373" s="28">
        <f t="shared" si="38"/>
        <v>698.21597222223477</v>
      </c>
      <c r="J373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Principal</vt:lpstr>
      <vt:lpstr>Flujos Mensuales</vt:lpstr>
      <vt:lpstr>Flujos Anuales</vt:lpstr>
      <vt:lpstr>catalogos</vt:lpstr>
      <vt:lpstr>Calculadoras Online</vt:lpstr>
      <vt:lpstr>Property Tax Zillow</vt:lpstr>
      <vt:lpstr>Michigan Property Tax</vt:lpstr>
      <vt:lpstr>Property Tax Millage</vt:lpstr>
      <vt:lpstr>Amortizacion Gradual Frances A</vt:lpstr>
      <vt:lpstr>Tax Calculator links</vt:lpstr>
      <vt:lpstr>Plusvalia</vt:lpstr>
      <vt:lpstr>Opciones de Inversion</vt:lpstr>
      <vt:lpstr>Yield Curve</vt:lpstr>
      <vt:lpstr>Amortizacion Constante Aleman A</vt:lpstr>
      <vt:lpstr>Amortizacion Constante Aleman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2015-06-05T18:17:20Z</dcterms:created>
  <dcterms:modified xsi:type="dcterms:W3CDTF">2025-07-25T08:06:43Z</dcterms:modified>
</cp:coreProperties>
</file>